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はじめに" sheetId="1" state="visible" r:id="rId1"/>
    <sheet name="価格条件" sheetId="2" state="visible" r:id="rId2"/>
    <sheet name="対応一覧" sheetId="3" state="visible" r:id="rId3"/>
    <sheet name="確認・集計" sheetId="4" state="visible" r:id="rId4"/>
    <sheet name="記入例（価格条件）" sheetId="5" state="visible" r:id="rId5"/>
    <sheet name="記入例（対応一覧）" sheetId="6" state="visible" r:id="rId6"/>
    <sheet name="設定" sheetId="7" state="visible" r:id="rId7"/>
  </sheets>
  <definedNames>
    <definedName name="基準日">'設定'!$C$6</definedName>
    <definedName name="切り上げ単位">'設定'!$C$8</definedName>
    <definedName name="提案状況リスト">'設定'!$B$12:$B$17</definedName>
    <definedName name="反映リスト">'設定'!$B$20:$B$21</definedName>
    <definedName name="条件リスト">T_価格条件[選択用の表示（自動）]</definedName>
    <definedName name="例_切り上げ単位">'記入例（価格条件）'!$C$3</definedName>
    <definedName name="例_条件リスト">T_例_価格条件[選択用の表示（自動）]</definedName>
    <definedName name="例_基準日">'記入例（対応一覧）'!$B$3</definedName>
    <definedName name="_xlnm.Print_Titles" localSheetId="1">'価格条件'!$4:$4</definedName>
    <definedName name="_xlnm.Print_Titles" localSheetId="2">'対応一覧'!$4:$4</definedName>
    <definedName name="_xlnm.Print_Titles" localSheetId="4">'記入例（価格条件）'!$5:$5</definedName>
    <definedName name="_xlnm.Print_Titles" localSheetId="5">'記入例（対応一覧）'!$7:$7</definedName>
  </definedNames>
  <calcPr calcId="124519" calcMode="auto" fullCalcOnLoad="1"/>
</workbook>
</file>

<file path=xl/styles.xml><?xml version="1.0" encoding="utf-8"?>
<styleSheet xmlns="http://schemas.openxmlformats.org/spreadsheetml/2006/main">
  <numFmts count="7">
    <numFmt numFmtId="164" formatCode="yyyy/m/d"/>
    <numFmt numFmtId="165" formatCode="#,##0;&quot;▲&quot;#,##0;0"/>
    <numFmt numFmtId="166" formatCode="0.00%;&quot;▲&quot;0.00%;0.00%"/>
    <numFmt numFmtId="167" formatCode="#,##0&quot;件&quot;"/>
    <numFmt numFmtId="168" formatCode="#,##0&quot;行&quot;"/>
    <numFmt numFmtId="169" formatCode="0&quot;円&quot;"/>
    <numFmt numFmtId="170" formatCode="yyyy-mm-dd"/>
  </numFmts>
  <fonts count="16">
    <font>
      <name val="游ゴシック"/>
      <charset val="128"/>
      <family val="3"/>
      <sz val="12"/>
    </font>
    <font>
      <name val="游ゴシック"/>
      <charset val="128"/>
      <b val="1"/>
      <color rgb="001D2125"/>
      <sz val="16"/>
    </font>
    <font>
      <name val="游ゴシック"/>
      <charset val="128"/>
      <color rgb="004B535C"/>
      <sz val="11"/>
    </font>
    <font>
      <name val="游ゴシック"/>
      <charset val="128"/>
      <b val="1"/>
      <color rgb="001D2125"/>
      <sz val="12"/>
    </font>
    <font>
      <name val="游ゴシック"/>
      <charset val="128"/>
      <color rgb="001D2125"/>
      <sz val="12"/>
    </font>
    <font>
      <name val="游ゴシック"/>
      <charset val="128"/>
      <b val="1"/>
      <color rgb="007A5200"/>
      <sz val="11"/>
    </font>
    <font>
      <name val="游ゴシック"/>
      <charset val="128"/>
      <b val="1"/>
      <color rgb="001D2125"/>
      <sz val="13"/>
    </font>
    <font>
      <name val="游ゴシック"/>
      <charset val="128"/>
      <b val="1"/>
      <color rgb="00FFFFFF"/>
      <sz val="12"/>
    </font>
    <font>
      <name val="游ゴシック"/>
      <charset val="128"/>
      <color rgb="001D2125"/>
      <sz val="11"/>
    </font>
    <font>
      <name val="游ゴシック"/>
      <charset val="128"/>
      <b val="1"/>
      <color rgb="00FFFFFF"/>
      <sz val="11"/>
    </font>
    <font>
      <name val="游ゴシック"/>
      <charset val="128"/>
      <color rgb="002F353B"/>
      <sz val="12"/>
    </font>
    <font>
      <name val="游ゴシック"/>
      <charset val="128"/>
      <b val="1"/>
      <color rgb="001F4F8F"/>
      <sz val="12"/>
    </font>
    <font>
      <name val="游ゴシック"/>
      <charset val="128"/>
      <b val="1"/>
      <color rgb="001D2125"/>
      <sz val="18"/>
    </font>
    <font>
      <name val="游ゴシック"/>
      <charset val="128"/>
      <b val="1"/>
      <color rgb="001D2125"/>
      <sz val="14"/>
    </font>
    <font>
      <name val="游ゴシック"/>
      <charset val="128"/>
      <b val="1"/>
      <color rgb="001F4F8F"/>
      <sz val="12"/>
      <u val="single"/>
    </font>
    <font>
      <name val="游ゴシック"/>
      <charset val="128"/>
      <color rgb="001F4F8F"/>
      <sz val="12"/>
    </font>
  </fonts>
  <fills count="8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F1F3F5"/>
      </patternFill>
    </fill>
    <fill>
      <patternFill patternType="solid">
        <fgColor rgb="00E7F2EA"/>
      </patternFill>
    </fill>
    <fill>
      <patternFill patternType="solid">
        <fgColor rgb="0059636E"/>
      </patternFill>
    </fill>
    <fill>
      <patternFill patternType="solid">
        <fgColor rgb="001F4F8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7BEC5"/>
      </left>
      <right style="thin">
        <color rgb="00B7BEC5"/>
      </right>
      <top style="thin">
        <color rgb="00B7BEC5"/>
      </top>
      <bottom style="thin">
        <color rgb="00B7BEC5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13" fillId="0" borderId="0" pivotButton="0" quotePrefix="0" xfId="0"/>
    <xf numFmtId="0" fontId="4" fillId="0" borderId="0" pivotButton="0" quotePrefix="0" xfId="0"/>
    <xf numFmtId="0" fontId="14" fillId="0" borderId="0" pivotButton="0" quotePrefix="0" xfId="0"/>
    <xf numFmtId="0" fontId="4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0" borderId="0" pivotButton="0" quotePrefix="0" xfId="0"/>
    <xf numFmtId="0" fontId="15" fillId="0" borderId="0" pivotButton="0" quotePrefix="0" xfId="0"/>
    <xf numFmtId="0" fontId="1" fillId="0" borderId="0" pivotButton="0" quotePrefix="0" xfId="0"/>
    <xf numFmtId="0" fontId="9" fillId="6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/>
    </xf>
    <xf numFmtId="165" fontId="4" fillId="2" borderId="1" applyAlignment="1" pivotButton="0" quotePrefix="0" xfId="0">
      <alignment vertical="center"/>
    </xf>
    <xf numFmtId="164" fontId="4" fillId="2" borderId="1" applyAlignment="1" pivotButton="0" quotePrefix="0" xfId="0">
      <alignment horizontal="center" vertical="center"/>
    </xf>
    <xf numFmtId="0" fontId="10" fillId="3" borderId="1" applyAlignment="1" pivotButton="0" quotePrefix="0" xfId="0">
      <alignment vertical="center"/>
    </xf>
    <xf numFmtId="165" fontId="10" fillId="3" borderId="1" applyAlignment="1" pivotButton="0" quotePrefix="0" xfId="0">
      <alignment vertical="center"/>
    </xf>
    <xf numFmtId="166" fontId="10" fillId="3" borderId="1" applyAlignment="1" pivotButton="0" quotePrefix="0" xfId="0">
      <alignment horizontal="right" vertical="center"/>
    </xf>
    <xf numFmtId="165" fontId="10" fillId="3" borderId="1" applyAlignment="1" pivotButton="0" quotePrefix="0" xfId="0">
      <alignment horizontal="right" vertical="center"/>
    </xf>
    <xf numFmtId="0" fontId="10" fillId="3" borderId="1" applyAlignment="1" pivotButton="0" quotePrefix="0" xfId="0">
      <alignment vertical="center" wrapText="1"/>
    </xf>
    <xf numFmtId="3" fontId="10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10" fillId="3" borderId="1" applyAlignment="1" pivotButton="0" quotePrefix="0" xfId="0">
      <alignment horizontal="center" vertical="center"/>
    </xf>
    <xf numFmtId="0" fontId="11" fillId="0" borderId="0" pivotButton="0" quotePrefix="0" xfId="0"/>
    <xf numFmtId="0" fontId="6" fillId="0" borderId="0" pivotButton="0" quotePrefix="0" xfId="0"/>
    <xf numFmtId="0" fontId="9" fillId="5" borderId="1" applyAlignment="1" pivotButton="0" quotePrefix="0" xfId="0">
      <alignment horizontal="center" vertical="center"/>
    </xf>
    <xf numFmtId="0" fontId="4" fillId="7" borderId="1" pivotButton="0" quotePrefix="0" xfId="0"/>
    <xf numFmtId="167" fontId="3" fillId="3" borderId="1" applyAlignment="1" pivotButton="0" quotePrefix="0" xfId="0">
      <alignment horizontal="right" vertical="center"/>
    </xf>
    <xf numFmtId="0" fontId="2" fillId="7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  <xf numFmtId="168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5" borderId="1" applyAlignment="1" pivotButton="0" quotePrefix="0" xfId="0">
      <alignment horizontal="center"/>
    </xf>
    <xf numFmtId="0" fontId="0" fillId="0" borderId="1" pivotButton="0" quotePrefix="0" xfId="0"/>
    <xf numFmtId="167" fontId="3" fillId="3" borderId="1" applyAlignment="1" pivotButton="0" quotePrefix="0" xfId="0">
      <alignment horizontal="right"/>
    </xf>
    <xf numFmtId="0" fontId="2" fillId="0" borderId="1" pivotButton="0" quotePrefix="0" xfId="0"/>
    <xf numFmtId="169" fontId="0" fillId="3" borderId="0" pivotButton="0" quotePrefix="0" xfId="0"/>
    <xf numFmtId="164" fontId="0" fillId="3" borderId="0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164" fontId="4" fillId="2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5" fillId="0" borderId="0" pivotButton="0" quotePrefix="0" xfId="0"/>
    <xf numFmtId="0" fontId="7" fillId="5" borderId="0" pivotButton="0" quotePrefix="0" xfId="0"/>
    <xf numFmtId="0" fontId="8" fillId="0" borderId="0" applyAlignment="1" pivotButton="0" quotePrefix="0" xfId="0">
      <alignment/>
    </xf>
  </cellXfs>
  <cellStyles count="1">
    <cellStyle name="Normal" xfId="0" builtinId="0" hidden="0"/>
  </cellStyles>
  <dxfs count="5">
    <dxf>
      <numFmt numFmtId="300" formatCode="#,##0.00;&quot;▲&quot;#,##0.00;0"/>
    </dxf>
    <dxf>
      <font>
        <color rgb="007A5200"/>
      </font>
      <fill>
        <patternFill patternType="solid">
          <fgColor rgb="00FDF3D8"/>
          <bgColor rgb="00FDF3D8"/>
        </patternFill>
      </fill>
    </dxf>
    <dxf>
      <font>
        <b val="1"/>
        <color rgb="00B42318"/>
      </font>
      <fill>
        <patternFill patternType="solid">
          <fgColor rgb="00FDECEA"/>
          <bgColor rgb="00FDECEA"/>
        </patternFill>
      </fill>
    </dxf>
    <dxf>
      <font>
        <b val="1"/>
        <color rgb="001F4F8F"/>
      </font>
      <fill>
        <patternFill patternType="solid">
          <fgColor rgb="00E3ECF8"/>
          <bgColor rgb="00E3ECF8"/>
        </patternFill>
      </fill>
    </dxf>
    <dxf>
      <font>
        <color rgb="001F4F8F"/>
      </font>
      <fill>
        <patternFill patternType="solid">
          <fgColor rgb="00E3ECF8"/>
          <bgColor rgb="00E3EC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T_価格条件" displayName="T_価格条件" ref="A4:T24" headerRowCount="1">
  <autoFilter ref="A4:T24"/>
  <tableColumns count="20">
    <tableColumn id="1" name="条件ID"/>
    <tableColumn id="2" name="商品名・品番"/>
    <tableColumn id="3" name="価格区分"/>
    <tableColumn id="4" name="改定前原価"/>
    <tableColumn id="5" name="改定後原価"/>
    <tableColumn id="6" name="現在売価"/>
    <tableColumn id="7" name="新売価案"/>
    <tableColumn id="8" name="仕入改定日"/>
    <tableColumn id="9" name="入力状態（自動）">
      <calculatedColumnFormula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calculatedColumnFormula>
    </tableColumn>
    <tableColumn id="10" name="改定前の粗利（自動）">
      <calculatedColumnFormula>IF(T_価格条件[[#This Row],[入力状態（自動）]]&lt;&gt;"OK","",T_価格条件[[#This Row],[現在売価]]-T_価格条件[[#This Row],[改定前原価]])</calculatedColumnFormula>
    </tableColumn>
    <tableColumn id="11" name="改定前の粗利率（自動）">
      <calculatedColumnFormula>IF(T_価格条件[[#This Row],[入力状態（自動）]]&lt;&gt;"OK","",IF(T_価格条件[[#This Row],[現在売価]]=0,"売価0円",(T_価格条件[[#This Row],[現在売価]]-T_価格条件[[#This Row],[改定前原価]])/T_価格条件[[#This Row],[現在売価]]))</calculatedColumnFormula>
    </tableColumn>
    <tableColumn id="12" name="据置時の粗利（自動）">
      <calculatedColumnFormula>IF(T_価格条件[[#This Row],[入力状態（自動）]]&lt;&gt;"OK","",T_価格条件[[#This Row],[現在売価]]-T_価格条件[[#This Row],[改定後原価]])</calculatedColumnFormula>
    </tableColumn>
    <tableColumn id="13" name="据置時の粗利率（自動）">
      <calculatedColumnFormula>IF(T_価格条件[[#This Row],[入力状態（自動）]]&lt;&gt;"OK","",IF(T_価格条件[[#This Row],[現在売価]]=0,"売価0円",(T_価格条件[[#This Row],[現在売価]]-T_価格条件[[#This Row],[改定後原価]])/T_価格条件[[#This Row],[現在売価]]))</calculatedColumnFormula>
    </tableColumn>
    <tableColumn id="14" name="粗利額を保つ売価（自動）">
      <calculatedColumnFormula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calculatedColumnFormula>
    </tableColumn>
    <tableColumn id="15" name="粗利率を保つ売価（自動）">
      <calculatedColumnFormula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calculatedColumnFormula>
    </tableColumn>
    <tableColumn id="16" name="新売価案の粗利（自動）">
      <calculatedColumnFormula>IF(OR(T_価格条件[[#This Row],[入力状態（自動）]]&lt;&gt;"OK",NOT(ISNUMBER(T_価格条件[[#This Row],[新売価案]]))),"",T_価格条件[[#This Row],[新売価案]]-T_価格条件[[#This Row],[改定後原価]])</calculatedColumnFormula>
    </tableColumn>
    <tableColumn id="17" name="新売価案の粗利率（自動）">
      <calculatedColumnFormula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calculatedColumnFormula>
    </tableColumn>
    <tableColumn id="18" name="逆算の注意（自動）">
      <calculatedColumnFormula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calculatedColumnFormula>
    </tableColumn>
    <tableColumn id="19" name="選択用の表示（自動）">
      <calculatedColumnFormula>IF(T_価格条件[[#This Row],[条件ID]]="","",T_価格条件[[#This Row],[条件ID]]&amp;"｜"&amp;T_価格条件[[#This Row],[商品名・品番]]&amp;IF(T_価格条件[[#This Row],[価格区分]]="","","（"&amp;T_価格条件[[#This Row],[価格区分]]&amp;"）"))</calculatedColumnFormula>
    </tableColumn>
    <tableColumn id="20" name="対応一覧での使用（自動）">
      <calculatedColumnFormula>IF(T_価格条件[[#This Row],[条件ID]]="","",SUMPRODUCT(--(T_対応一覧[条件ID（自動）]=T_価格条件[[#This Row],[条件ID]])))</calculatedColumnFormula>
    </tableColumn>
  </tableColumns>
  <tableStyleInfo name="TableStyleLight1" showRowStripes="0" showColumnStripes="0"/>
</table>
</file>

<file path=xl/tables/table2.xml><?xml version="1.0" encoding="utf-8"?>
<table xmlns="http://schemas.openxmlformats.org/spreadsheetml/2006/main" id="2" name="T_対応一覧" displayName="T_対応一覧" ref="A4:S34" headerRowCount="1">
  <autoFilter ref="A4:S34"/>
  <tableColumns count="19">
    <tableColumn id="1" name="得意先"/>
    <tableColumn id="2" name="条件（一覧から選択）"/>
    <tableColumn id="3" name="担当者"/>
    <tableColumn id="4" name="提案状況"/>
    <tableColumn id="5" name="次回対応日"/>
    <tableColumn id="6" name="次にすること"/>
    <tableColumn id="7" name="確認（自動）">
      <calculatedColumnFormula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calculatedColumnFormula>
    </tableColumn>
    <tableColumn id="8" name="合意売価"/>
    <tableColumn id="9" name="売価の反映"/>
    <tableColumn id="10" name="適用予定日"/>
    <tableColumn id="11" name="月間数量"/>
    <tableColumn id="12" name="メモ"/>
    <tableColumn id="13" name="対応区分（自動）">
      <calculatedColumnFormula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calculatedColumnFormula>
    </tableColumn>
    <tableColumn id="14" name="条件ID（自動）">
      <calculatedColumnFormula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calculatedColumnFormula>
    </tableColumn>
    <tableColumn id="15" name="試算の対象（自動）">
      <calculatedColumnFormula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calculatedColumnFormula>
    </tableColumn>
    <tableColumn id="16" name="改定前の月間粗利（自動）">
      <calculatedColumnFormula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calculatedColumnFormula>
    </tableColumn>
    <tableColumn id="17" name="据置時の月間粗利（自動）">
      <calculatedColumnFormula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calculatedColumnFormula>
    </tableColumn>
    <tableColumn id="18" name="新売価案の月間粗利（自動）">
      <calculatedColumnFormula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calculatedColumnFormula>
    </tableColumn>
    <tableColumn id="19" name="合意売価の月間粗利（自動）">
      <calculatedColumnFormula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calculatedColumnFormula>
    </tableColumn>
  </tableColumns>
  <tableStyleInfo name="TableStyleLight1" showRowStripes="0" showColumnStripes="0"/>
</table>
</file>

<file path=xl/tables/table3.xml><?xml version="1.0" encoding="utf-8"?>
<table xmlns="http://schemas.openxmlformats.org/spreadsheetml/2006/main" id="3" name="T_例_価格条件" displayName="T_例_価格条件" ref="A5:T9" headerRowCount="1">
  <autoFilter ref="A5:T9"/>
  <tableColumns count="20">
    <tableColumn id="1" name="条件ID"/>
    <tableColumn id="2" name="商品名・品番"/>
    <tableColumn id="3" name="価格区分"/>
    <tableColumn id="4" name="改定前原価"/>
    <tableColumn id="5" name="改定後原価"/>
    <tableColumn id="6" name="現在売価"/>
    <tableColumn id="7" name="新売価案"/>
    <tableColumn id="8" name="仕入改定日"/>
    <tableColumn id="9" name="入力状態（自動）">
      <calculatedColumnFormula>IF(AND(T_例_価格条件[[#This Row],[条件ID]]="",T_例_価格条件[[#This Row],[商品名・品番]]="",T_例_価格条件[[#This Row],[改定前原価]]="",T_例_価格条件[[#This Row],[改定後原価]]="",T_例_価格条件[[#This Row],[現在売価]]="",T_例_価格条件[[#This Row],[新売価案]]=""),"",IF(T_例_価格条件[[#This Row],[条件ID]]="","要確認：条件IDを入力",IF(SUMPRODUCT(--(T_例_価格条件[条件ID]=T_例_価格条件[[#This Row],[条件ID]]))&gt;1,"要確認：条件IDが重複",IF(ISNUMBER(FIND("｜",T_例_価格条件[[#This Row],[条件ID]])),"要確認：条件IDに「｜」は使えません",IF(TRIM(T_例_価格条件[[#This Row],[条件ID]])&lt;&gt;T_例_価格条件[[#This Row],[条件ID]],"要確認：条件IDの前後に空白があります",IF(T_例_価格条件[[#This Row],[改定前原価]]="","未入力：改定前原価",IF(NOT(ISNUMBER(T_例_価格条件[[#This Row],[改定前原価]])),"要確認：改定前原価が数値でない",IF(T_例_価格条件[[#This Row],[改定前原価]]&lt;0,"要確認：改定前原価がマイナス",IF(ROUND(T_例_価格条件[[#This Row],[改定前原価]],2)&lt;&gt;T_例_価格条件[[#This Row],[改定前原価]],"要確認：改定前原価は小数第2位まで",IF(T_例_価格条件[[#This Row],[改定後原価]]="","未入力：改定後原価",IF(NOT(ISNUMBER(T_例_価格条件[[#This Row],[改定後原価]])),"要確認：改定後原価が数値でない",IF(T_例_価格条件[[#This Row],[改定後原価]]&lt;0,"要確認：改定後原価がマイナス",IF(ROUND(T_例_価格条件[[#This Row],[改定後原価]],2)&lt;&gt;T_例_価格条件[[#This Row],[改定後原価]],"要確認：改定後原価は小数第2位まで",IF(T_例_価格条件[[#This Row],[現在売価]]="","未入力：現在売価",IF(NOT(ISNUMBER(T_例_価格条件[[#This Row],[現在売価]])),"要確認：現在売価が数値でない",IF(T_例_価格条件[[#This Row],[現在売価]]&lt;0,"要確認：現在売価がマイナス",IF(ROUND(T_例_価格条件[[#This Row],[現在売価]],2)&lt;&gt;T_例_価格条件[[#This Row],[現在売価]],"要確認：現在売価は小数第2位まで",IF(AND(T_例_価格条件[[#This Row],[新売価案]]&lt;&gt;"",NOT(ISNUMBER(T_例_価格条件[[#This Row],[新売価案]]))),"要確認：新売価案が数値でない",IF(AND(ISNUMBER(T_例_価格条件[[#This Row],[新売価案]]),T_例_価格条件[[#This Row],[新売価案]]&lt;0),"要確認：新売価案がマイナス",IF(AND(ISNUMBER(T_例_価格条件[[#This Row],[新売価案]]),ROUND(T_例_価格条件[[#This Row],[新売価案]],2)&lt;&gt;T_例_価格条件[[#This Row],[新売価案]]),"要確認：新売価案は小数第2位まで","OK"))))))))))))))))))))</calculatedColumnFormula>
    </tableColumn>
    <tableColumn id="10" name="改定前の粗利（自動）">
      <calculatedColumnFormula>IF(T_例_価格条件[[#This Row],[入力状態（自動）]]&lt;&gt;"OK","",T_例_価格条件[[#This Row],[現在売価]]-T_例_価格条件[[#This Row],[改定前原価]])</calculatedColumnFormula>
    </tableColumn>
    <tableColumn id="11" name="改定前の粗利率（自動）">
      <calculatedColumnFormula>IF(T_例_価格条件[[#This Row],[入力状態（自動）]]&lt;&gt;"OK","",IF(T_例_価格条件[[#This Row],[現在売価]]=0,"売価0円",(T_例_価格条件[[#This Row],[現在売価]]-T_例_価格条件[[#This Row],[改定前原価]])/T_例_価格条件[[#This Row],[現在売価]]))</calculatedColumnFormula>
    </tableColumn>
    <tableColumn id="12" name="据置時の粗利（自動）">
      <calculatedColumnFormula>IF(T_例_価格条件[[#This Row],[入力状態（自動）]]&lt;&gt;"OK","",T_例_価格条件[[#This Row],[現在売価]]-T_例_価格条件[[#This Row],[改定後原価]])</calculatedColumnFormula>
    </tableColumn>
    <tableColumn id="13" name="据置時の粗利率（自動）">
      <calculatedColumnFormula>IF(T_例_価格条件[[#This Row],[入力状態（自動）]]&lt;&gt;"OK","",IF(T_例_価格条件[[#This Row],[現在売価]]=0,"売価0円",(T_例_価格条件[[#This Row],[現在売価]]-T_例_価格条件[[#This Row],[改定後原価]])/T_例_価格条件[[#This Row],[現在売価]]))</calculatedColumnFormula>
    </tableColumn>
    <tableColumn id="14" name="粗利額を保つ売価（自動）">
      <calculatedColumnFormula>IF(T_例_価格条件[[#This Row],[入力状態（自動）]]&lt;&gt;"OK","",IF((T_例_価格条件[[#This Row],[改定後原価]]+T_例_価格条件[[#This Row],[現在売価]]-T_例_価格条件[[#This Row],[改定前原価]])&lt;=0,"0円以下",ROUND(ROUNDUP(ROUND(ROUND((T_例_価格条件[[#This Row],[改定後原価]]+T_例_価格条件[[#This Row],[現在売価]]-T_例_価格条件[[#This Row],[改定前原価]]),4)/例_切り上げ単位,6),0)*例_切り上げ単位,2)))</calculatedColumnFormula>
    </tableColumn>
    <tableColumn id="15" name="粗利率を保つ売価（自動）">
      <calculatedColumnFormula>IF(T_例_価格条件[[#This Row],[入力状態（自動）]]&lt;&gt;"OK","",IF(T_例_価格条件[[#This Row],[現在売価]]=0,"計算不可",IF(T_例_価格条件[[#This Row],[改定前原価]]=0,IF(T_例_価格条件[[#This Row],[改定後原価]]=0,"原価0円","保てない"),IF(T_例_価格条件[[#This Row],[改定後原価]]=0,"原価0円",ROUND(ROUNDUP(ROUND(ROUND(T_例_価格条件[[#This Row],[改定後原価]]*T_例_価格条件[[#This Row],[現在売価]]/T_例_価格条件[[#This Row],[改定前原価]],4)/例_切り上げ単位,6),0)*例_切り上げ単位,2)))))</calculatedColumnFormula>
    </tableColumn>
    <tableColumn id="16" name="新売価案の粗利（自動）">
      <calculatedColumnFormula>IF(OR(T_例_価格条件[[#This Row],[入力状態（自動）]]&lt;&gt;"OK",NOT(ISNUMBER(T_例_価格条件[[#This Row],[新売価案]]))),"",T_例_価格条件[[#This Row],[新売価案]]-T_例_価格条件[[#This Row],[改定後原価]])</calculatedColumnFormula>
    </tableColumn>
    <tableColumn id="17" name="新売価案の粗利率（自動）">
      <calculatedColumnFormula>IF(OR(T_例_価格条件[[#This Row],[入力状態（自動）]]&lt;&gt;"OK",NOT(ISNUMBER(T_例_価格条件[[#This Row],[新売価案]]))),"",IF(T_例_価格条件[[#This Row],[新売価案]]=0,"売価0円",(T_例_価格条件[[#This Row],[新売価案]]-T_例_価格条件[[#This Row],[改定後原価]])/T_例_価格条件[[#This Row],[新売価案]]))</calculatedColumnFormula>
    </tableColumn>
    <tableColumn id="18" name="逆算の注意（自動）">
      <calculatedColumnFormula>IF(T_例_価格条件[[#This Row],[入力状態（自動）]]&lt;&gt;"OK","",IF((T_例_価格条件[[#This Row],[改定後原価]]+T_例_価格条件[[#This Row],[現在売価]]-T_例_価格条件[[#This Row],[改定前原価]])&lt;=0,"粗利額維持：理論値が"&amp;IF((T_例_価格条件[[#This Row],[改定後原価]]+T_例_価格条件[[#This Row],[現在売価]]-T_例_価格条件[[#This Row],[改定前原価]])&lt;0,"▲","")&amp;IF(MOD(ABS((T_例_価格条件[[#This Row],[改定後原価]]+T_例_価格条件[[#This Row],[現在売価]]-T_例_価格条件[[#This Row],[改定前原価]])),1)=0,TEXT(ABS((T_例_価格条件[[#This Row],[改定後原価]]+T_例_価格条件[[#This Row],[現在売価]]-T_例_価格条件[[#This Row],[改定前原価]])),"#,##0"),TEXT(ABS((T_例_価格条件[[#This Row],[改定後原価]]+T_例_価格条件[[#This Row],[現在売価]]-T_例_価格条件[[#This Row],[改定前原価]])),"#,##0.00"))&amp;"円で、売価にできません（改定前の粗利が0円以下）。","")&amp;IF(T_例_価格条件[[#This Row],[現在売価]]&lt;T_例_価格条件[[#This Row],[改定前原価]],"改定前から原価割れのため、表示している維持売価は赤字のままの参考値です。","")&amp;IF(T_例_価格条件[[#This Row],[現在売価]]=0,"粗利率維持：現在売価が0円のため、粗利率が計算できません。",IF(T_例_価格条件[[#This Row],[改定前原価]]=0,IF(T_例_価格条件[[#This Row],[改定後原価]]=0,"改定後も原価0円のため、正の売価なら粗利率は100%です。","粗利率維持：改定前の粗利率が100%のため、原価が上がると同じ率は保てません。"),IF(T_例_価格条件[[#This Row],[改定後原価]]=0,"改定後の原価0円のため、正の売価なら粗利率は100%です。",""))))</calculatedColumnFormula>
    </tableColumn>
    <tableColumn id="19" name="選択用の表示（自動）">
      <calculatedColumnFormula>IF(T_例_価格条件[[#This Row],[条件ID]]="","",T_例_価格条件[[#This Row],[条件ID]]&amp;"｜"&amp;T_例_価格条件[[#This Row],[商品名・品番]]&amp;IF(T_例_価格条件[[#This Row],[価格区分]]="","","（"&amp;T_例_価格条件[[#This Row],[価格区分]]&amp;"）"))</calculatedColumnFormula>
    </tableColumn>
    <tableColumn id="20" name="対応一覧での使用（自動）">
      <calculatedColumnFormula>IF(T_例_価格条件[[#This Row],[条件ID]]="","",SUMPRODUCT(--(T_例_対応一覧[条件ID（自動）]=T_例_価格条件[[#This Row],[条件ID]])))</calculatedColumnFormula>
    </tableColumn>
  </tableColumns>
  <tableStyleInfo name="TableStyleLight1" showRowStripes="0" showColumnStripes="0"/>
</table>
</file>

<file path=xl/tables/table4.xml><?xml version="1.0" encoding="utf-8"?>
<table xmlns="http://schemas.openxmlformats.org/spreadsheetml/2006/main" id="4" name="T_例_対応一覧" displayName="T_例_対応一覧" ref="A7:S14" headerRowCount="1">
  <autoFilter ref="A7:S14"/>
  <tableColumns count="19">
    <tableColumn id="1" name="得意先"/>
    <tableColumn id="2" name="条件（一覧から選択）"/>
    <tableColumn id="3" name="担当者"/>
    <tableColumn id="4" name="提案状況"/>
    <tableColumn id="5" name="次回対応日"/>
    <tableColumn id="6" name="次にすること"/>
    <tableColumn id="7" name="確認（自動）">
      <calculatedColumnFormula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calculatedColumnFormula>
    </tableColumn>
    <tableColumn id="8" name="合意売価"/>
    <tableColumn id="9" name="売価の反映"/>
    <tableColumn id="10" name="適用予定日"/>
    <tableColumn id="11" name="月間数量"/>
    <tableColumn id="12" name="メモ"/>
    <tableColumn id="13" name="対応区分（自動）">
      <calculatedColumnFormula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calculatedColumnFormula>
    </tableColumn>
    <tableColumn id="14" name="条件ID（自動）">
      <calculatedColumnFormula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calculatedColumnFormula>
    </tableColumn>
    <tableColumn id="15" name="試算の対象（自動）">
      <calculatedColumnFormula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calculatedColumnFormula>
    </tableColumn>
    <tableColumn id="16" name="改定前の月間粗利（自動）">
      <calculatedColumnFormula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calculatedColumnFormula>
    </tableColumn>
    <tableColumn id="17" name="据置時の月間粗利（自動）">
      <calculatedColumnFormula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calculatedColumnFormula>
    </tableColumn>
    <tableColumn id="18" name="新売価案の月間粗利（自動）">
      <calculatedColumnFormula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calculatedColumnFormula>
    </tableColumn>
    <tableColumn id="19" name="合意売価の月間粗利（自動）">
      <calculatedColumnFormula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8"/>
  <sheetViews>
    <sheetView showGridLines="0" zoomScale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1" ht="34" customHeight="1">
      <c r="B1" s="1" t="inlineStr">
        <is>
          <t>価格改定・見積の対応管理表</t>
        </is>
      </c>
    </row>
    <row r="2">
      <c r="B2" s="2" t="inlineStr">
        <is>
          <t>ツグアス｜v1（2026-10-21）｜金額はすべて税抜・円｜マクロは使っていません</t>
        </is>
      </c>
    </row>
    <row r="4">
      <c r="B4" s="3" t="inlineStr">
        <is>
          <t>このExcelでできること</t>
        </is>
      </c>
    </row>
    <row r="5">
      <c r="B5" s="4" t="inlineStr">
        <is>
          <t>・仕入値が上がったとき、売価を据え置いた場合の粗利の減り方を確かめる。</t>
        </is>
      </c>
    </row>
    <row r="6">
      <c r="B6" s="4" t="inlineStr">
        <is>
          <t>・粗利額を保つ売価と、粗利率を保つ売価を分けて出す。</t>
        </is>
      </c>
    </row>
    <row r="7">
      <c r="B7" s="4" t="inlineStr">
        <is>
          <t>・得意先ごとに、価格の案内・回答・合意・自社の価格表への反映・適用日を管理する。</t>
        </is>
      </c>
    </row>
    <row r="8">
      <c r="B8" s="4" t="inlineStr">
        <is>
          <t>・今日連絡する相手と、期限を過ぎた対応を見つける。</t>
        </is>
      </c>
    </row>
    <row r="10">
      <c r="B10" s="3" t="inlineStr">
        <is>
          <t>使い始める手順</t>
        </is>
      </c>
    </row>
    <row r="11" ht="36" customHeight="1">
      <c r="B11" s="5" t="inlineStr">
        <is>
          <t>1. 設定</t>
        </is>
      </c>
      <c r="C11" s="6" t="inlineStr">
        <is>
          <t>改定の名前を入れます。必要売価の切り上げ単位（1円・10円・100円・0.01円）も選べます。</t>
        </is>
      </c>
    </row>
    <row r="12" ht="36" customHeight="1">
      <c r="B12" s="5" t="inlineStr">
        <is>
          <t>2. 価格条件</t>
        </is>
      </c>
      <c r="C12" s="6" t="inlineStr">
        <is>
          <t>商品ごとに、改定前・改定後の原価と現在の売価を入れます。条件IDは A-001 のように重ならない番号にします。</t>
        </is>
      </c>
    </row>
    <row r="13" ht="36" customHeight="1">
      <c r="B13" s="5" t="inlineStr">
        <is>
          <t>3. 対応一覧</t>
        </is>
      </c>
      <c r="C13" s="6" t="inlineStr">
        <is>
          <t>得意先ごとに1行作り、「条件」を▼の一覧から選びます。提案状況と次回対応日を入れます。</t>
        </is>
      </c>
    </row>
    <row r="14" ht="36" customHeight="1">
      <c r="B14" s="5" t="inlineStr">
        <is>
          <t>4. 確認・集計</t>
        </is>
      </c>
      <c r="C14" s="6" t="inlineStr">
        <is>
          <t>期限を過ぎた対応、合意後に未反映の件数、月間粗利の試算を確認します。</t>
        </is>
      </c>
    </row>
    <row r="15">
      <c r="B15" s="5" t="inlineStr">
        <is>
          <t>記入例を見る</t>
        </is>
      </c>
      <c r="C15" s="4" t="inlineStr">
        <is>
          <t>架空の会社・商品での書き方の見本です。実際の集計には含まれません。</t>
        </is>
      </c>
    </row>
    <row r="17">
      <c r="B17" s="3" t="inlineStr">
        <is>
          <t>セルの色の見分け方</t>
        </is>
      </c>
    </row>
    <row r="18">
      <c r="B18" s="7" t="inlineStr">
        <is>
          <t>入力する</t>
        </is>
      </c>
      <c r="C18" s="4" t="inlineStr">
        <is>
          <t>黄色。数字・日付・文字を入力します。見出しは藍色です。</t>
        </is>
      </c>
    </row>
    <row r="19">
      <c r="B19" s="8" t="inlineStr">
        <is>
          <t>一覧から選ぶ</t>
        </is>
      </c>
      <c r="C19" s="4" t="inlineStr">
        <is>
          <t>緑色。セルを選ぶと出る▼から選びます。</t>
        </is>
      </c>
    </row>
    <row r="20">
      <c r="B20" s="9" t="inlineStr">
        <is>
          <t>自動で計算</t>
        </is>
      </c>
      <c r="C20" s="4" t="inlineStr">
        <is>
          <t>灰色。見出しに「（自動）」と付いた列です。入力しないでください。</t>
        </is>
      </c>
    </row>
    <row r="22">
      <c r="B22" s="3" t="inlineStr">
        <is>
          <t>覚えておくこと</t>
        </is>
      </c>
    </row>
    <row r="23">
      <c r="B23" s="4" t="inlineStr">
        <is>
          <t>・1冊＝1回の価格改定です。次の改定は、このファイルをコピーして使ってください（過去の改定と同じ集計に混ぜないため）。</t>
        </is>
      </c>
    </row>
    <row r="24">
      <c r="B24" s="4" t="inlineStr">
        <is>
          <t>・価格条件の1行は「同じ商品・同じ価格条件」のまとまりです。対応一覧の1行は「1得意先×1条件」です。</t>
        </is>
      </c>
    </row>
    <row r="25">
      <c r="B25" s="4" t="inlineStr">
        <is>
          <t>・同じ得意先・同じ条件を2行入れると、数量が二重に数えられるため、試算から外して「要確認」と表示します。</t>
        </is>
      </c>
    </row>
    <row r="26">
      <c r="B26" s="4" t="inlineStr">
        <is>
          <t>・「合意」しただけでは、自社の価格表への反映は済んでいません。「売価の反映」を「反映済」にし、適用予定日を入れます。</t>
        </is>
      </c>
    </row>
    <row r="27">
      <c r="B27" s="4" t="inlineStr">
        <is>
          <t>・「見送り」は交渉の終了です。粗利が減る影響は残るため、据置の試算には含めます。「対象外」は試算から外します。</t>
        </is>
      </c>
    </row>
    <row r="28">
      <c r="B28" s="4" t="inlineStr">
        <is>
          <t>・月間の金額は、数量が一定と仮定した試算です。値上げによる注文の増減は予測していません。日割りもしません。</t>
        </is>
      </c>
    </row>
    <row r="29">
      <c r="B29" s="4" t="inlineStr">
        <is>
          <t>・行を増やすときは、表の最終行のすぐ下のセルに入力するか、最終行の右下のセルでTabキーを押します。数式は自動で広がります。</t>
        </is>
      </c>
    </row>
    <row r="30">
      <c r="B30" s="4" t="inlineStr">
        <is>
          <t>・並べ替え・絞り込みは、見出しの▼から行います。確認・集計は、絞り込みに関係なく全行を数えます。</t>
        </is>
      </c>
    </row>
    <row r="32">
      <c r="B32" s="3" t="inlineStr">
        <is>
          <t>動作の前提</t>
        </is>
      </c>
    </row>
    <row r="33">
      <c r="B33" s="4" t="inlineStr">
        <is>
          <t>・Microsoft Excel 2016以降・Microsoft 365（Windows・Mac）を想定しています。マクロ・外部ファイルへのリンク・アドインは使っていません。</t>
        </is>
      </c>
    </row>
    <row r="34">
      <c r="B34" s="4" t="inlineStr">
        <is>
          <t>・Googleスプレッドシート・Numbersでの動作は確認していません。</t>
        </is>
      </c>
    </row>
    <row r="35">
      <c r="B35" s="4" t="inlineStr">
        <is>
          <t>・計算結果は試算です。実際の売価は、契約・得意先との関係・競合などを含めて自社で判断してください。</t>
        </is>
      </c>
    </row>
    <row r="37">
      <c r="B37" s="10" t="inlineStr">
        <is>
          <t>Web版の計算機</t>
        </is>
      </c>
      <c r="C37" s="11" t="inlineStr">
        <is>
          <t>https://tsuguasu.com/tools/gross-profit/</t>
        </is>
      </c>
    </row>
    <row r="38">
      <c r="B38" s="10" t="inlineStr">
        <is>
          <t>自社向けに整える相談</t>
        </is>
      </c>
      <c r="C38" s="4" t="inlineStr">
        <is>
          <t>価格表・見積管理を自社の業務に合わせて整える相談は、同じ運営者のセコンドデスク（https://second-desk.jp/）で受け付けています。</t>
        </is>
      </c>
    </row>
  </sheetData>
  <hyperlinks>
    <hyperlink ref="B11" location="'設定'!A1" display="1. 設定"/>
    <hyperlink ref="B12" location="'価格条件'!A1" display="2. 価格条件"/>
    <hyperlink ref="B13" location="'対応一覧'!A1" display="3. 対応一覧"/>
    <hyperlink ref="B14" location="'確認・集計'!A1" display="4. 確認・集計"/>
    <hyperlink ref="B15" location="'記入例（対応一覧）'!A1" display="記入例を見る"/>
  </hyperlinks>
  <printOptions horizontalCentered="0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4"/>
  <sheetViews>
    <sheetView showGridLines="0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26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40" customWidth="1" min="18" max="18"/>
    <col width="34" customWidth="1" min="19" max="19"/>
    <col width="14" customWidth="1" min="20" max="20"/>
  </cols>
  <sheetData>
    <row r="1" ht="30" customHeight="1">
      <c r="A1" s="12" t="inlineStr">
        <is>
          <t>価格条件（1行＝同じ商品・同じ価格条件のまとまり）</t>
        </is>
      </c>
    </row>
    <row r="2" ht="20" customHeight="1">
      <c r="A2" s="2" t="inlineStr">
        <is>
          <t>金額はすべて税抜・円。黄色のセルに入力し、灰色の列は自動で計算されます。同じ商品でも得意先によって売価が違うときは、条件を分けます（例：標準／Aランク）。</t>
        </is>
      </c>
    </row>
    <row r="3">
      <c r="A3" s="2" t="str">
        <f>"必要売価は "&amp;切り上げ単位&amp;" 円単位で切り上げています（設定シートで変更）。条件IDは、対応一覧で選んだ後に変えないでください。"</f>
        <v>必要売価は 1 円単位で切り上げています（設定シートで変更）。条件IDは、対応一覧で選んだ後に変えないでください。</v>
      </c>
    </row>
    <row r="4" ht="42" customHeight="1">
      <c r="A4" s="13" t="inlineStr">
        <is>
          <t>条件ID</t>
        </is>
      </c>
      <c r="B4" s="13" t="inlineStr">
        <is>
          <t>商品名・品番</t>
        </is>
      </c>
      <c r="C4" s="13" t="inlineStr">
        <is>
          <t>価格区分</t>
        </is>
      </c>
      <c r="D4" s="13" t="inlineStr">
        <is>
          <t>改定前原価</t>
        </is>
      </c>
      <c r="E4" s="13" t="inlineStr">
        <is>
          <t>改定後原価</t>
        </is>
      </c>
      <c r="F4" s="13" t="inlineStr">
        <is>
          <t>現在売価</t>
        </is>
      </c>
      <c r="G4" s="13" t="inlineStr">
        <is>
          <t>新売価案</t>
        </is>
      </c>
      <c r="H4" s="13" t="inlineStr">
        <is>
          <t>仕入改定日</t>
        </is>
      </c>
      <c r="I4" s="14" t="inlineStr">
        <is>
          <t>入力状態（自動）</t>
        </is>
      </c>
      <c r="J4" s="14" t="inlineStr">
        <is>
          <t>改定前の粗利（自動）</t>
        </is>
      </c>
      <c r="K4" s="14" t="inlineStr">
        <is>
          <t>改定前の粗利率（自動）</t>
        </is>
      </c>
      <c r="L4" s="14" t="inlineStr">
        <is>
          <t>据置時の粗利（自動）</t>
        </is>
      </c>
      <c r="M4" s="14" t="inlineStr">
        <is>
          <t>据置時の粗利率（自動）</t>
        </is>
      </c>
      <c r="N4" s="14" t="inlineStr">
        <is>
          <t>粗利額を保つ売価（自動）</t>
        </is>
      </c>
      <c r="O4" s="14" t="inlineStr">
        <is>
          <t>粗利率を保つ売価（自動）</t>
        </is>
      </c>
      <c r="P4" s="14" t="inlineStr">
        <is>
          <t>新売価案の粗利（自動）</t>
        </is>
      </c>
      <c r="Q4" s="14" t="inlineStr">
        <is>
          <t>新売価案の粗利率（自動）</t>
        </is>
      </c>
      <c r="R4" s="14" t="inlineStr">
        <is>
          <t>逆算の注意（自動）</t>
        </is>
      </c>
      <c r="S4" s="14" t="inlineStr">
        <is>
          <t>選択用の表示（自動）</t>
        </is>
      </c>
      <c r="T4" s="14" t="inlineStr">
        <is>
          <t>対応一覧での使用（自動）</t>
        </is>
      </c>
    </row>
    <row r="5" ht="22" customHeight="1">
      <c r="A5" s="15" t="n"/>
      <c r="B5" s="16" t="n"/>
      <c r="C5" s="16" t="n"/>
      <c r="D5" s="17" t="n"/>
      <c r="E5" s="17" t="n"/>
      <c r="F5" s="17" t="n"/>
      <c r="G5" s="17" t="n"/>
      <c r="H5" s="18" t="n"/>
      <c r="I5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5" s="20" t="str">
        <f>IF(T_価格条件[[#This Row],[入力状態（自動）]]&lt;&gt;"OK","",T_価格条件[[#This Row],[現在売価]]-T_価格条件[[#This Row],[改定前原価]])</f>
        <v/>
      </c>
      <c r="K5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5" s="20" t="str">
        <f>IF(T_価格条件[[#This Row],[入力状態（自動）]]&lt;&gt;"OK","",T_価格条件[[#This Row],[現在売価]]-T_価格条件[[#This Row],[改定後原価]])</f>
        <v/>
      </c>
      <c r="M5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5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5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5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5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5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5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5" s="24" t="str">
        <f>IF(T_価格条件[[#This Row],[条件ID]]="","",SUMPRODUCT(--(T_対応一覧[条件ID（自動）]=T_価格条件[[#This Row],[条件ID]])))</f>
        <v/>
      </c>
    </row>
    <row r="6" ht="22" customHeight="1">
      <c r="A6" s="15" t="n"/>
      <c r="B6" s="16" t="n"/>
      <c r="C6" s="16" t="n"/>
      <c r="D6" s="17" t="n"/>
      <c r="E6" s="17" t="n"/>
      <c r="F6" s="17" t="n"/>
      <c r="G6" s="17" t="n"/>
      <c r="H6" s="18" t="n"/>
      <c r="I6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6" s="20" t="str">
        <f>IF(T_価格条件[[#This Row],[入力状態（自動）]]&lt;&gt;"OK","",T_価格条件[[#This Row],[現在売価]]-T_価格条件[[#This Row],[改定前原価]])</f>
        <v/>
      </c>
      <c r="K6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6" s="20" t="str">
        <f>IF(T_価格条件[[#This Row],[入力状態（自動）]]&lt;&gt;"OK","",T_価格条件[[#This Row],[現在売価]]-T_価格条件[[#This Row],[改定後原価]])</f>
        <v/>
      </c>
      <c r="M6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6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6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6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6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6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6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6" s="24" t="str">
        <f>IF(T_価格条件[[#This Row],[条件ID]]="","",SUMPRODUCT(--(T_対応一覧[条件ID（自動）]=T_価格条件[[#This Row],[条件ID]])))</f>
        <v/>
      </c>
    </row>
    <row r="7" ht="22" customHeight="1">
      <c r="A7" s="15" t="n"/>
      <c r="B7" s="16" t="n"/>
      <c r="C7" s="16" t="n"/>
      <c r="D7" s="17" t="n"/>
      <c r="E7" s="17" t="n"/>
      <c r="F7" s="17" t="n"/>
      <c r="G7" s="17" t="n"/>
      <c r="H7" s="18" t="n"/>
      <c r="I7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7" s="20" t="str">
        <f>IF(T_価格条件[[#This Row],[入力状態（自動）]]&lt;&gt;"OK","",T_価格条件[[#This Row],[現在売価]]-T_価格条件[[#This Row],[改定前原価]])</f>
        <v/>
      </c>
      <c r="K7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7" s="20" t="str">
        <f>IF(T_価格条件[[#This Row],[入力状態（自動）]]&lt;&gt;"OK","",T_価格条件[[#This Row],[現在売価]]-T_価格条件[[#This Row],[改定後原価]])</f>
        <v/>
      </c>
      <c r="M7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7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7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7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7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7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7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7" s="24" t="str">
        <f>IF(T_価格条件[[#This Row],[条件ID]]="","",SUMPRODUCT(--(T_対応一覧[条件ID（自動）]=T_価格条件[[#This Row],[条件ID]])))</f>
        <v/>
      </c>
    </row>
    <row r="8" ht="22" customHeight="1">
      <c r="A8" s="15" t="n"/>
      <c r="B8" s="16" t="n"/>
      <c r="C8" s="16" t="n"/>
      <c r="D8" s="17" t="n"/>
      <c r="E8" s="17" t="n"/>
      <c r="F8" s="17" t="n"/>
      <c r="G8" s="17" t="n"/>
      <c r="H8" s="18" t="n"/>
      <c r="I8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8" s="20" t="str">
        <f>IF(T_価格条件[[#This Row],[入力状態（自動）]]&lt;&gt;"OK","",T_価格条件[[#This Row],[現在売価]]-T_価格条件[[#This Row],[改定前原価]])</f>
        <v/>
      </c>
      <c r="K8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8" s="20" t="str">
        <f>IF(T_価格条件[[#This Row],[入力状態（自動）]]&lt;&gt;"OK","",T_価格条件[[#This Row],[現在売価]]-T_価格条件[[#This Row],[改定後原価]])</f>
        <v/>
      </c>
      <c r="M8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8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8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8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8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8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8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8" s="24" t="str">
        <f>IF(T_価格条件[[#This Row],[条件ID]]="","",SUMPRODUCT(--(T_対応一覧[条件ID（自動）]=T_価格条件[[#This Row],[条件ID]])))</f>
        <v/>
      </c>
    </row>
    <row r="9" ht="22" customHeight="1">
      <c r="A9" s="15" t="n"/>
      <c r="B9" s="16" t="n"/>
      <c r="C9" s="16" t="n"/>
      <c r="D9" s="17" t="n"/>
      <c r="E9" s="17" t="n"/>
      <c r="F9" s="17" t="n"/>
      <c r="G9" s="17" t="n"/>
      <c r="H9" s="18" t="n"/>
      <c r="I9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9" s="20" t="str">
        <f>IF(T_価格条件[[#This Row],[入力状態（自動）]]&lt;&gt;"OK","",T_価格条件[[#This Row],[現在売価]]-T_価格条件[[#This Row],[改定前原価]])</f>
        <v/>
      </c>
      <c r="K9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9" s="20" t="str">
        <f>IF(T_価格条件[[#This Row],[入力状態（自動）]]&lt;&gt;"OK","",T_価格条件[[#This Row],[現在売価]]-T_価格条件[[#This Row],[改定後原価]])</f>
        <v/>
      </c>
      <c r="M9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9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9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9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9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9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9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9" s="24" t="str">
        <f>IF(T_価格条件[[#This Row],[条件ID]]="","",SUMPRODUCT(--(T_対応一覧[条件ID（自動）]=T_価格条件[[#This Row],[条件ID]])))</f>
        <v/>
      </c>
    </row>
    <row r="10" ht="22" customHeight="1">
      <c r="A10" s="15" t="n"/>
      <c r="B10" s="16" t="n"/>
      <c r="C10" s="16" t="n"/>
      <c r="D10" s="17" t="n"/>
      <c r="E10" s="17" t="n"/>
      <c r="F10" s="17" t="n"/>
      <c r="G10" s="17" t="n"/>
      <c r="H10" s="18" t="n"/>
      <c r="I10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0" s="20" t="str">
        <f>IF(T_価格条件[[#This Row],[入力状態（自動）]]&lt;&gt;"OK","",T_価格条件[[#This Row],[現在売価]]-T_価格条件[[#This Row],[改定前原価]])</f>
        <v/>
      </c>
      <c r="K10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0" s="20" t="str">
        <f>IF(T_価格条件[[#This Row],[入力状態（自動）]]&lt;&gt;"OK","",T_価格条件[[#This Row],[現在売価]]-T_価格条件[[#This Row],[改定後原価]])</f>
        <v/>
      </c>
      <c r="M10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0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0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0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0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0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0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0" s="24" t="str">
        <f>IF(T_価格条件[[#This Row],[条件ID]]="","",SUMPRODUCT(--(T_対応一覧[条件ID（自動）]=T_価格条件[[#This Row],[条件ID]])))</f>
        <v/>
      </c>
    </row>
    <row r="11" ht="22" customHeight="1">
      <c r="A11" s="15" t="n"/>
      <c r="B11" s="16" t="n"/>
      <c r="C11" s="16" t="n"/>
      <c r="D11" s="17" t="n"/>
      <c r="E11" s="17" t="n"/>
      <c r="F11" s="17" t="n"/>
      <c r="G11" s="17" t="n"/>
      <c r="H11" s="18" t="n"/>
      <c r="I11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1" s="20" t="str">
        <f>IF(T_価格条件[[#This Row],[入力状態（自動）]]&lt;&gt;"OK","",T_価格条件[[#This Row],[現在売価]]-T_価格条件[[#This Row],[改定前原価]])</f>
        <v/>
      </c>
      <c r="K11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1" s="20" t="str">
        <f>IF(T_価格条件[[#This Row],[入力状態（自動）]]&lt;&gt;"OK","",T_価格条件[[#This Row],[現在売価]]-T_価格条件[[#This Row],[改定後原価]])</f>
        <v/>
      </c>
      <c r="M11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1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1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1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1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1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1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1" s="24" t="str">
        <f>IF(T_価格条件[[#This Row],[条件ID]]="","",SUMPRODUCT(--(T_対応一覧[条件ID（自動）]=T_価格条件[[#This Row],[条件ID]])))</f>
        <v/>
      </c>
    </row>
    <row r="12" ht="22" customHeight="1">
      <c r="A12" s="15" t="n"/>
      <c r="B12" s="16" t="n"/>
      <c r="C12" s="16" t="n"/>
      <c r="D12" s="17" t="n"/>
      <c r="E12" s="17" t="n"/>
      <c r="F12" s="17" t="n"/>
      <c r="G12" s="17" t="n"/>
      <c r="H12" s="18" t="n"/>
      <c r="I12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2" s="20" t="str">
        <f>IF(T_価格条件[[#This Row],[入力状態（自動）]]&lt;&gt;"OK","",T_価格条件[[#This Row],[現在売価]]-T_価格条件[[#This Row],[改定前原価]])</f>
        <v/>
      </c>
      <c r="K12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2" s="20" t="str">
        <f>IF(T_価格条件[[#This Row],[入力状態（自動）]]&lt;&gt;"OK","",T_価格条件[[#This Row],[現在売価]]-T_価格条件[[#This Row],[改定後原価]])</f>
        <v/>
      </c>
      <c r="M12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2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2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2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2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2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2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2" s="24" t="str">
        <f>IF(T_価格条件[[#This Row],[条件ID]]="","",SUMPRODUCT(--(T_対応一覧[条件ID（自動）]=T_価格条件[[#This Row],[条件ID]])))</f>
        <v/>
      </c>
    </row>
    <row r="13" ht="22" customHeight="1">
      <c r="A13" s="15" t="n"/>
      <c r="B13" s="16" t="n"/>
      <c r="C13" s="16" t="n"/>
      <c r="D13" s="17" t="n"/>
      <c r="E13" s="17" t="n"/>
      <c r="F13" s="17" t="n"/>
      <c r="G13" s="17" t="n"/>
      <c r="H13" s="18" t="n"/>
      <c r="I13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3" s="20" t="str">
        <f>IF(T_価格条件[[#This Row],[入力状態（自動）]]&lt;&gt;"OK","",T_価格条件[[#This Row],[現在売価]]-T_価格条件[[#This Row],[改定前原価]])</f>
        <v/>
      </c>
      <c r="K13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3" s="20" t="str">
        <f>IF(T_価格条件[[#This Row],[入力状態（自動）]]&lt;&gt;"OK","",T_価格条件[[#This Row],[現在売価]]-T_価格条件[[#This Row],[改定後原価]])</f>
        <v/>
      </c>
      <c r="M13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3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3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3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3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3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3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3" s="24" t="str">
        <f>IF(T_価格条件[[#This Row],[条件ID]]="","",SUMPRODUCT(--(T_対応一覧[条件ID（自動）]=T_価格条件[[#This Row],[条件ID]])))</f>
        <v/>
      </c>
    </row>
    <row r="14" ht="22" customHeight="1">
      <c r="A14" s="15" t="n"/>
      <c r="B14" s="16" t="n"/>
      <c r="C14" s="16" t="n"/>
      <c r="D14" s="17" t="n"/>
      <c r="E14" s="17" t="n"/>
      <c r="F14" s="17" t="n"/>
      <c r="G14" s="17" t="n"/>
      <c r="H14" s="18" t="n"/>
      <c r="I14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4" s="20" t="str">
        <f>IF(T_価格条件[[#This Row],[入力状態（自動）]]&lt;&gt;"OK","",T_価格条件[[#This Row],[現在売価]]-T_価格条件[[#This Row],[改定前原価]])</f>
        <v/>
      </c>
      <c r="K14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4" s="20" t="str">
        <f>IF(T_価格条件[[#This Row],[入力状態（自動）]]&lt;&gt;"OK","",T_価格条件[[#This Row],[現在売価]]-T_価格条件[[#This Row],[改定後原価]])</f>
        <v/>
      </c>
      <c r="M14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4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4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4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4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4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4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4" s="24" t="str">
        <f>IF(T_価格条件[[#This Row],[条件ID]]="","",SUMPRODUCT(--(T_対応一覧[条件ID（自動）]=T_価格条件[[#This Row],[条件ID]])))</f>
        <v/>
      </c>
    </row>
    <row r="15" ht="22" customHeight="1">
      <c r="A15" s="15" t="n"/>
      <c r="B15" s="16" t="n"/>
      <c r="C15" s="16" t="n"/>
      <c r="D15" s="17" t="n"/>
      <c r="E15" s="17" t="n"/>
      <c r="F15" s="17" t="n"/>
      <c r="G15" s="17" t="n"/>
      <c r="H15" s="18" t="n"/>
      <c r="I15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5" s="20" t="str">
        <f>IF(T_価格条件[[#This Row],[入力状態（自動）]]&lt;&gt;"OK","",T_価格条件[[#This Row],[現在売価]]-T_価格条件[[#This Row],[改定前原価]])</f>
        <v/>
      </c>
      <c r="K15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5" s="20" t="str">
        <f>IF(T_価格条件[[#This Row],[入力状態（自動）]]&lt;&gt;"OK","",T_価格条件[[#This Row],[現在売価]]-T_価格条件[[#This Row],[改定後原価]])</f>
        <v/>
      </c>
      <c r="M15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5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5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5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5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5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5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5" s="24" t="str">
        <f>IF(T_価格条件[[#This Row],[条件ID]]="","",SUMPRODUCT(--(T_対応一覧[条件ID（自動）]=T_価格条件[[#This Row],[条件ID]])))</f>
        <v/>
      </c>
    </row>
    <row r="16" ht="22" customHeight="1">
      <c r="A16" s="15" t="n"/>
      <c r="B16" s="16" t="n"/>
      <c r="C16" s="16" t="n"/>
      <c r="D16" s="17" t="n"/>
      <c r="E16" s="17" t="n"/>
      <c r="F16" s="17" t="n"/>
      <c r="G16" s="17" t="n"/>
      <c r="H16" s="18" t="n"/>
      <c r="I16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6" s="20" t="str">
        <f>IF(T_価格条件[[#This Row],[入力状態（自動）]]&lt;&gt;"OK","",T_価格条件[[#This Row],[現在売価]]-T_価格条件[[#This Row],[改定前原価]])</f>
        <v/>
      </c>
      <c r="K16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6" s="20" t="str">
        <f>IF(T_価格条件[[#This Row],[入力状態（自動）]]&lt;&gt;"OK","",T_価格条件[[#This Row],[現在売価]]-T_価格条件[[#This Row],[改定後原価]])</f>
        <v/>
      </c>
      <c r="M16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6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6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6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6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6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6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6" s="24" t="str">
        <f>IF(T_価格条件[[#This Row],[条件ID]]="","",SUMPRODUCT(--(T_対応一覧[条件ID（自動）]=T_価格条件[[#This Row],[条件ID]])))</f>
        <v/>
      </c>
    </row>
    <row r="17" ht="22" customHeight="1">
      <c r="A17" s="15" t="n"/>
      <c r="B17" s="16" t="n"/>
      <c r="C17" s="16" t="n"/>
      <c r="D17" s="17" t="n"/>
      <c r="E17" s="17" t="n"/>
      <c r="F17" s="17" t="n"/>
      <c r="G17" s="17" t="n"/>
      <c r="H17" s="18" t="n"/>
      <c r="I17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7" s="20" t="str">
        <f>IF(T_価格条件[[#This Row],[入力状態（自動）]]&lt;&gt;"OK","",T_価格条件[[#This Row],[現在売価]]-T_価格条件[[#This Row],[改定前原価]])</f>
        <v/>
      </c>
      <c r="K17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7" s="20" t="str">
        <f>IF(T_価格条件[[#This Row],[入力状態（自動）]]&lt;&gt;"OK","",T_価格条件[[#This Row],[現在売価]]-T_価格条件[[#This Row],[改定後原価]])</f>
        <v/>
      </c>
      <c r="M17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7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7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7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7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7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7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7" s="24" t="str">
        <f>IF(T_価格条件[[#This Row],[条件ID]]="","",SUMPRODUCT(--(T_対応一覧[条件ID（自動）]=T_価格条件[[#This Row],[条件ID]])))</f>
        <v/>
      </c>
    </row>
    <row r="18" ht="22" customHeight="1">
      <c r="A18" s="15" t="n"/>
      <c r="B18" s="16" t="n"/>
      <c r="C18" s="16" t="n"/>
      <c r="D18" s="17" t="n"/>
      <c r="E18" s="17" t="n"/>
      <c r="F18" s="17" t="n"/>
      <c r="G18" s="17" t="n"/>
      <c r="H18" s="18" t="n"/>
      <c r="I18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8" s="20" t="str">
        <f>IF(T_価格条件[[#This Row],[入力状態（自動）]]&lt;&gt;"OK","",T_価格条件[[#This Row],[現在売価]]-T_価格条件[[#This Row],[改定前原価]])</f>
        <v/>
      </c>
      <c r="K18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8" s="20" t="str">
        <f>IF(T_価格条件[[#This Row],[入力状態（自動）]]&lt;&gt;"OK","",T_価格条件[[#This Row],[現在売価]]-T_価格条件[[#This Row],[改定後原価]])</f>
        <v/>
      </c>
      <c r="M18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8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8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8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8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8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8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8" s="24" t="str">
        <f>IF(T_価格条件[[#This Row],[条件ID]]="","",SUMPRODUCT(--(T_対応一覧[条件ID（自動）]=T_価格条件[[#This Row],[条件ID]])))</f>
        <v/>
      </c>
    </row>
    <row r="19" ht="22" customHeight="1">
      <c r="A19" s="15" t="n"/>
      <c r="B19" s="16" t="n"/>
      <c r="C19" s="16" t="n"/>
      <c r="D19" s="17" t="n"/>
      <c r="E19" s="17" t="n"/>
      <c r="F19" s="17" t="n"/>
      <c r="G19" s="17" t="n"/>
      <c r="H19" s="18" t="n"/>
      <c r="I19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19" s="20" t="str">
        <f>IF(T_価格条件[[#This Row],[入力状態（自動）]]&lt;&gt;"OK","",T_価格条件[[#This Row],[現在売価]]-T_価格条件[[#This Row],[改定前原価]])</f>
        <v/>
      </c>
      <c r="K19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19" s="20" t="str">
        <f>IF(T_価格条件[[#This Row],[入力状態（自動）]]&lt;&gt;"OK","",T_価格条件[[#This Row],[現在売価]]-T_価格条件[[#This Row],[改定後原価]])</f>
        <v/>
      </c>
      <c r="M19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19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19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19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19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19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19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19" s="24" t="str">
        <f>IF(T_価格条件[[#This Row],[条件ID]]="","",SUMPRODUCT(--(T_対応一覧[条件ID（自動）]=T_価格条件[[#This Row],[条件ID]])))</f>
        <v/>
      </c>
    </row>
    <row r="20" ht="22" customHeight="1">
      <c r="A20" s="15" t="n"/>
      <c r="B20" s="16" t="n"/>
      <c r="C20" s="16" t="n"/>
      <c r="D20" s="17" t="n"/>
      <c r="E20" s="17" t="n"/>
      <c r="F20" s="17" t="n"/>
      <c r="G20" s="17" t="n"/>
      <c r="H20" s="18" t="n"/>
      <c r="I20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20" s="20" t="str">
        <f>IF(T_価格条件[[#This Row],[入力状態（自動）]]&lt;&gt;"OK","",T_価格条件[[#This Row],[現在売価]]-T_価格条件[[#This Row],[改定前原価]])</f>
        <v/>
      </c>
      <c r="K20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20" s="20" t="str">
        <f>IF(T_価格条件[[#This Row],[入力状態（自動）]]&lt;&gt;"OK","",T_価格条件[[#This Row],[現在売価]]-T_価格条件[[#This Row],[改定後原価]])</f>
        <v/>
      </c>
      <c r="M20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20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20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20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20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20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20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20" s="24" t="str">
        <f>IF(T_価格条件[[#This Row],[条件ID]]="","",SUMPRODUCT(--(T_対応一覧[条件ID（自動）]=T_価格条件[[#This Row],[条件ID]])))</f>
        <v/>
      </c>
    </row>
    <row r="21" ht="22" customHeight="1">
      <c r="A21" s="15" t="n"/>
      <c r="B21" s="16" t="n"/>
      <c r="C21" s="16" t="n"/>
      <c r="D21" s="17" t="n"/>
      <c r="E21" s="17" t="n"/>
      <c r="F21" s="17" t="n"/>
      <c r="G21" s="17" t="n"/>
      <c r="H21" s="18" t="n"/>
      <c r="I21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21" s="20" t="str">
        <f>IF(T_価格条件[[#This Row],[入力状態（自動）]]&lt;&gt;"OK","",T_価格条件[[#This Row],[現在売価]]-T_価格条件[[#This Row],[改定前原価]])</f>
        <v/>
      </c>
      <c r="K21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21" s="20" t="str">
        <f>IF(T_価格条件[[#This Row],[入力状態（自動）]]&lt;&gt;"OK","",T_価格条件[[#This Row],[現在売価]]-T_価格条件[[#This Row],[改定後原価]])</f>
        <v/>
      </c>
      <c r="M21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21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21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21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21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21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21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21" s="24" t="str">
        <f>IF(T_価格条件[[#This Row],[条件ID]]="","",SUMPRODUCT(--(T_対応一覧[条件ID（自動）]=T_価格条件[[#This Row],[条件ID]])))</f>
        <v/>
      </c>
    </row>
    <row r="22" ht="22" customHeight="1">
      <c r="A22" s="15" t="n"/>
      <c r="B22" s="16" t="n"/>
      <c r="C22" s="16" t="n"/>
      <c r="D22" s="17" t="n"/>
      <c r="E22" s="17" t="n"/>
      <c r="F22" s="17" t="n"/>
      <c r="G22" s="17" t="n"/>
      <c r="H22" s="18" t="n"/>
      <c r="I22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22" s="20" t="str">
        <f>IF(T_価格条件[[#This Row],[入力状態（自動）]]&lt;&gt;"OK","",T_価格条件[[#This Row],[現在売価]]-T_価格条件[[#This Row],[改定前原価]])</f>
        <v/>
      </c>
      <c r="K22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22" s="20" t="str">
        <f>IF(T_価格条件[[#This Row],[入力状態（自動）]]&lt;&gt;"OK","",T_価格条件[[#This Row],[現在売価]]-T_価格条件[[#This Row],[改定後原価]])</f>
        <v/>
      </c>
      <c r="M22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22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22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22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22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22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22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22" s="24" t="str">
        <f>IF(T_価格条件[[#This Row],[条件ID]]="","",SUMPRODUCT(--(T_対応一覧[条件ID（自動）]=T_価格条件[[#This Row],[条件ID]])))</f>
        <v/>
      </c>
    </row>
    <row r="23" ht="22" customHeight="1">
      <c r="A23" s="15" t="n"/>
      <c r="B23" s="16" t="n"/>
      <c r="C23" s="16" t="n"/>
      <c r="D23" s="17" t="n"/>
      <c r="E23" s="17" t="n"/>
      <c r="F23" s="17" t="n"/>
      <c r="G23" s="17" t="n"/>
      <c r="H23" s="18" t="n"/>
      <c r="I23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23" s="20" t="str">
        <f>IF(T_価格条件[[#This Row],[入力状態（自動）]]&lt;&gt;"OK","",T_価格条件[[#This Row],[現在売価]]-T_価格条件[[#This Row],[改定前原価]])</f>
        <v/>
      </c>
      <c r="K23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23" s="20" t="str">
        <f>IF(T_価格条件[[#This Row],[入力状態（自動）]]&lt;&gt;"OK","",T_価格条件[[#This Row],[現在売価]]-T_価格条件[[#This Row],[改定後原価]])</f>
        <v/>
      </c>
      <c r="M23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23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23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23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23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23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23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23" s="24" t="str">
        <f>IF(T_価格条件[[#This Row],[条件ID]]="","",SUMPRODUCT(--(T_対応一覧[条件ID（自動）]=T_価格条件[[#This Row],[条件ID]])))</f>
        <v/>
      </c>
    </row>
    <row r="24" ht="22" customHeight="1">
      <c r="A24" s="15" t="n"/>
      <c r="B24" s="16" t="n"/>
      <c r="C24" s="16" t="n"/>
      <c r="D24" s="17" t="n"/>
      <c r="E24" s="17" t="n"/>
      <c r="F24" s="17" t="n"/>
      <c r="G24" s="17" t="n"/>
      <c r="H24" s="18" t="n"/>
      <c r="I24" s="19" t="str">
        <f>IF(AND(T_価格条件[[#This Row],[条件ID]]="",T_価格条件[[#This Row],[商品名・品番]]="",T_価格条件[[#This Row],[改定前原価]]="",T_価格条件[[#This Row],[改定後原価]]="",T_価格条件[[#This Row],[現在売価]]="",T_価格条件[[#This Row],[新売価案]]=""),"",IF(T_価格条件[[#This Row],[条件ID]]="","要確認：条件IDを入力",IF(SUMPRODUCT(--(T_価格条件[条件ID]=T_価格条件[[#This Row],[条件ID]]))&gt;1,"要確認：条件IDが重複",IF(ISNUMBER(FIND("｜",T_価格条件[[#This Row],[条件ID]])),"要確認：条件IDに「｜」は使えません",IF(TRIM(T_価格条件[[#This Row],[条件ID]])&lt;&gt;T_価格条件[[#This Row],[条件ID]],"要確認：条件IDの前後に空白があります",IF(T_価格条件[[#This Row],[改定前原価]]="","未入力：改定前原価",IF(NOT(ISNUMBER(T_価格条件[[#This Row],[改定前原価]])),"要確認：改定前原価が数値でない",IF(T_価格条件[[#This Row],[改定前原価]]&lt;0,"要確認：改定前原価がマイナス",IF(ROUND(T_価格条件[[#This Row],[改定前原価]],2)&lt;&gt;T_価格条件[[#This Row],[改定前原価]],"要確認：改定前原価は小数第2位まで",IF(T_価格条件[[#This Row],[改定後原価]]="","未入力：改定後原価",IF(NOT(ISNUMBER(T_価格条件[[#This Row],[改定後原価]])),"要確認：改定後原価が数値でない",IF(T_価格条件[[#This Row],[改定後原価]]&lt;0,"要確認：改定後原価がマイナス",IF(ROUND(T_価格条件[[#This Row],[改定後原価]],2)&lt;&gt;T_価格条件[[#This Row],[改定後原価]],"要確認：改定後原価は小数第2位まで",IF(T_価格条件[[#This Row],[現在売価]]="","未入力：現在売価",IF(NOT(ISNUMBER(T_価格条件[[#This Row],[現在売価]])),"要確認：現在売価が数値でない",IF(T_価格条件[[#This Row],[現在売価]]&lt;0,"要確認：現在売価がマイナス",IF(ROUND(T_価格条件[[#This Row],[現在売価]],2)&lt;&gt;T_価格条件[[#This Row],[現在売価]],"要確認：現在売価は小数第2位まで",IF(AND(T_価格条件[[#This Row],[新売価案]]&lt;&gt;"",NOT(ISNUMBER(T_価格条件[[#This Row],[新売価案]]))),"要確認：新売価案が数値でない",IF(AND(ISNUMBER(T_価格条件[[#This Row],[新売価案]]),T_価格条件[[#This Row],[新売価案]]&lt;0),"要確認：新売価案がマイナス",IF(AND(ISNUMBER(T_価格条件[[#This Row],[新売価案]]),ROUND(T_価格条件[[#This Row],[新売価案]],2)&lt;&gt;T_価格条件[[#This Row],[新売価案]]),"要確認：新売価案は小数第2位まで","OK"))))))))))))))))))))</f>
        <v/>
      </c>
      <c r="J24" s="20" t="str">
        <f>IF(T_価格条件[[#This Row],[入力状態（自動）]]&lt;&gt;"OK","",T_価格条件[[#This Row],[現在売価]]-T_価格条件[[#This Row],[改定前原価]])</f>
        <v/>
      </c>
      <c r="K24" s="21" t="str">
        <f>IF(T_価格条件[[#This Row],[入力状態（自動）]]&lt;&gt;"OK","",IF(T_価格条件[[#This Row],[現在売価]]=0,"売価0円",(T_価格条件[[#This Row],[現在売価]]-T_価格条件[[#This Row],[改定前原価]])/T_価格条件[[#This Row],[現在売価]]))</f>
        <v/>
      </c>
      <c r="L24" s="20" t="str">
        <f>IF(T_価格条件[[#This Row],[入力状態（自動）]]&lt;&gt;"OK","",T_価格条件[[#This Row],[現在売価]]-T_価格条件[[#This Row],[改定後原価]])</f>
        <v/>
      </c>
      <c r="M24" s="21" t="str">
        <f>IF(T_価格条件[[#This Row],[入力状態（自動）]]&lt;&gt;"OK","",IF(T_価格条件[[#This Row],[現在売価]]=0,"売価0円",(T_価格条件[[#This Row],[現在売価]]-T_価格条件[[#This Row],[改定後原価]])/T_価格条件[[#This Row],[現在売価]]))</f>
        <v/>
      </c>
      <c r="N24" s="22" t="str">
        <f>IF(T_価格条件[[#This Row],[入力状態（自動）]]&lt;&gt;"OK","",IF((T_価格条件[[#This Row],[改定後原価]]+T_価格条件[[#This Row],[現在売価]]-T_価格条件[[#This Row],[改定前原価]])&lt;=0,"0円以下",ROUND(ROUNDUP(ROUND(ROUND((T_価格条件[[#This Row],[改定後原価]]+T_価格条件[[#This Row],[現在売価]]-T_価格条件[[#This Row],[改定前原価]]),4)/切り上げ単位,6),0)*切り上げ単位,2)))</f>
        <v/>
      </c>
      <c r="O24" s="22" t="str">
        <f>IF(T_価格条件[[#This Row],[入力状態（自動）]]&lt;&gt;"OK","",IF(T_価格条件[[#This Row],[現在売価]]=0,"計算不可",IF(T_価格条件[[#This Row],[改定前原価]]=0,IF(T_価格条件[[#This Row],[改定後原価]]=0,"原価0円","保てない"),IF(T_価格条件[[#This Row],[改定後原価]]=0,"原価0円",ROUND(ROUNDUP(ROUND(ROUND(T_価格条件[[#This Row],[改定後原価]]*T_価格条件[[#This Row],[現在売価]]/T_価格条件[[#This Row],[改定前原価]],4)/切り上げ単位,6),0)*切り上げ単位,2)))))</f>
        <v/>
      </c>
      <c r="P24" s="20" t="str">
        <f>IF(OR(T_価格条件[[#This Row],[入力状態（自動）]]&lt;&gt;"OK",NOT(ISNUMBER(T_価格条件[[#This Row],[新売価案]]))),"",T_価格条件[[#This Row],[新売価案]]-T_価格条件[[#This Row],[改定後原価]])</f>
        <v/>
      </c>
      <c r="Q24" s="21" t="str">
        <f>IF(OR(T_価格条件[[#This Row],[入力状態（自動）]]&lt;&gt;"OK",NOT(ISNUMBER(T_価格条件[[#This Row],[新売価案]]))),"",IF(T_価格条件[[#This Row],[新売価案]]=0,"売価0円",(T_価格条件[[#This Row],[新売価案]]-T_価格条件[[#This Row],[改定後原価]])/T_価格条件[[#This Row],[新売価案]]))</f>
        <v/>
      </c>
      <c r="R24" s="23" t="str">
        <f>IF(T_価格条件[[#This Row],[入力状態（自動）]]&lt;&gt;"OK","",IF((T_価格条件[[#This Row],[改定後原価]]+T_価格条件[[#This Row],[現在売価]]-T_価格条件[[#This Row],[改定前原価]])&lt;=0,"粗利額維持：理論値が"&amp;IF((T_価格条件[[#This Row],[改定後原価]]+T_価格条件[[#This Row],[現在売価]]-T_価格条件[[#This Row],[改定前原価]])&lt;0,"▲","")&amp;IF(MOD(ABS((T_価格条件[[#This Row],[改定後原価]]+T_価格条件[[#This Row],[現在売価]]-T_価格条件[[#This Row],[改定前原価]])),1)=0,TEXT(ABS((T_価格条件[[#This Row],[改定後原価]]+T_価格条件[[#This Row],[現在売価]]-T_価格条件[[#This Row],[改定前原価]])),"#,##0"),TEXT(ABS((T_価格条件[[#This Row],[改定後原価]]+T_価格条件[[#This Row],[現在売価]]-T_価格条件[[#This Row],[改定前原価]])),"#,##0.00"))&amp;"円で、売価にできません（改定前の粗利が0円以下）。","")&amp;IF(T_価格条件[[#This Row],[現在売価]]&lt;T_価格条件[[#This Row],[改定前原価]],"改定前から原価割れのため、表示している維持売価は赤字のままの参考値です。","")&amp;IF(T_価格条件[[#This Row],[現在売価]]=0,"粗利率維持：現在売価が0円のため、粗利率が計算できません。",IF(T_価格条件[[#This Row],[改定前原価]]=0,IF(T_価格条件[[#This Row],[改定後原価]]=0,"改定後も原価0円のため、正の売価なら粗利率は100%です。","粗利率維持：改定前の粗利率が100%のため、原価が上がると同じ率は保てません。"),IF(T_価格条件[[#This Row],[改定後原価]]=0,"改定後の原価0円のため、正の売価なら粗利率は100%です。",""))))</f>
        <v/>
      </c>
      <c r="S24" s="19" t="str">
        <f>IF(T_価格条件[[#This Row],[条件ID]]="","",T_価格条件[[#This Row],[条件ID]]&amp;"｜"&amp;T_価格条件[[#This Row],[商品名・品番]]&amp;IF(T_価格条件[[#This Row],[価格区分]]="","","（"&amp;T_価格条件[[#This Row],[価格区分]]&amp;"）"))</f>
        <v/>
      </c>
      <c r="T24" s="24" t="str">
        <f>IF(T_価格条件[[#This Row],[条件ID]]="","",SUMPRODUCT(--(T_対応一覧[条件ID（自動）]=T_価格条件[[#This Row],[条件ID]])))</f>
        <v/>
      </c>
    </row>
  </sheetData>
  <conditionalFormatting sqref="D5:D2004">
    <cfRule type="expression" priority="1" dxfId="0">
      <formula>AND(ISNUMBER(D5),MOD(ABS(D5),1)&gt;0)</formula>
    </cfRule>
  </conditionalFormatting>
  <conditionalFormatting sqref="E5:E2004">
    <cfRule type="expression" priority="2" dxfId="0">
      <formula>AND(ISNUMBER(E5),MOD(ABS(E5),1)&gt;0)</formula>
    </cfRule>
  </conditionalFormatting>
  <conditionalFormatting sqref="F5:F2004">
    <cfRule type="expression" priority="3" dxfId="0">
      <formula>AND(ISNUMBER(F5),MOD(ABS(F5),1)&gt;0)</formula>
    </cfRule>
  </conditionalFormatting>
  <conditionalFormatting sqref="G5:G2004">
    <cfRule type="expression" priority="4" dxfId="0">
      <formula>AND(ISNUMBER(G5),MOD(ABS(G5),1)&gt;0)</formula>
    </cfRule>
  </conditionalFormatting>
  <conditionalFormatting sqref="J5:J2004">
    <cfRule type="expression" priority="5" dxfId="0">
      <formula>AND(ISNUMBER(J5),MOD(ABS(J5),1)&gt;0)</formula>
    </cfRule>
  </conditionalFormatting>
  <conditionalFormatting sqref="L5:L2004">
    <cfRule type="expression" priority="6" dxfId="0">
      <formula>AND(ISNUMBER(L5),MOD(ABS(L5),1)&gt;0)</formula>
    </cfRule>
  </conditionalFormatting>
  <conditionalFormatting sqref="N5:N2004">
    <cfRule type="expression" priority="7" dxfId="0">
      <formula>AND(ISNUMBER(N5),MOD(ABS(N5),1)&gt;0)</formula>
    </cfRule>
  </conditionalFormatting>
  <conditionalFormatting sqref="O5:O2004">
    <cfRule type="expression" priority="8" dxfId="0">
      <formula>AND(ISNUMBER(O5),MOD(ABS(O5),1)&gt;0)</formula>
    </cfRule>
  </conditionalFormatting>
  <conditionalFormatting sqref="P5:P2004">
    <cfRule type="expression" priority="9" dxfId="0">
      <formula>AND(ISNUMBER(P5),MOD(ABS(P5),1)&gt;0)</formula>
    </cfRule>
  </conditionalFormatting>
  <conditionalFormatting sqref="I5:I2004">
    <cfRule type="expression" priority="10" dxfId="1" stopIfTrue="1">
      <formula>LEFT(I5,3)="要確認"</formula>
    </cfRule>
    <cfRule type="expression" priority="11" dxfId="1" stopIfTrue="1">
      <formula>LEFT(I5,3)="未入力"</formula>
    </cfRule>
  </conditionalFormatting>
  <dataValidations count="5">
    <dataValidation sqref="D5:D2004" showDropDown="0" showInputMessage="0" showErrorMessage="1" allowBlank="1" errorTitle="改定前原価" error="0以上の金額（税抜・円）を数字で入力してください。1億円まで。" type="decimal" errorStyle="stop" operator="between">
      <formula1>0</formula1>
      <formula2>100000000</formula2>
    </dataValidation>
    <dataValidation sqref="E5:E2004" showDropDown="0" showInputMessage="0" showErrorMessage="1" allowBlank="1" errorTitle="改定後原価" error="0以上の金額（税抜・円）を数字で入力してください。1億円まで。" type="decimal" errorStyle="stop" operator="between">
      <formula1>0</formula1>
      <formula2>100000000</formula2>
    </dataValidation>
    <dataValidation sqref="F5:F2004" showDropDown="0" showInputMessage="0" showErrorMessage="1" allowBlank="1" errorTitle="現在売価" error="0以上の金額（税抜・円）を数字で入力してください。1億円まで。" type="decimal" errorStyle="stop" operator="between">
      <formula1>0</formula1>
      <formula2>100000000</formula2>
    </dataValidation>
    <dataValidation sqref="G5:G2004" showDropDown="0" showInputMessage="0" showErrorMessage="1" allowBlank="1" errorTitle="新売価案" error="0以上の金額（税抜・円）を数字で入力してください。1億円まで。" type="decimal" errorStyle="stop" operator="between">
      <formula1>0</formula1>
      <formula2>100000000</formula2>
    </dataValidation>
    <dataValidation sqref="H5:H2004" showDropDown="0" showInputMessage="0" showErrorMessage="1" allowBlank="1" errorTitle="仕入改定日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34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1" customWidth="1" min="4" max="4"/>
    <col width="12" customWidth="1" min="5" max="5"/>
    <col width="30" customWidth="1" min="6" max="6"/>
    <col width="30" customWidth="1" min="7" max="7"/>
    <col width="12" customWidth="1" min="8" max="8"/>
    <col width="10" customWidth="1" min="9" max="9"/>
    <col width="12" customWidth="1" min="10" max="10"/>
    <col width="10" customWidth="1" min="11" max="11"/>
    <col width="24" customWidth="1" min="12" max="12"/>
    <col width="13" customWidth="1" min="13" max="13"/>
    <col width="13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</cols>
  <sheetData>
    <row r="1" ht="30" customHeight="1">
      <c r="A1" s="12" t="inlineStr">
        <is>
          <t>対応一覧（1行＝1得意先×1条件）</t>
        </is>
      </c>
    </row>
    <row r="2" ht="20" customHeight="1">
      <c r="A2" s="2" t="inlineStr">
        <is>
          <t>得意先ごとに行を作り、「条件」は▼の一覧から選びます。今日の対応は「確認」列、または次回対応日で並べ替えると見つかります。</t>
        </is>
      </c>
    </row>
    <row r="3">
      <c r="A3" s="2" t="str">
        <f>"基準日："&amp;TEXT(基準日,"yyyy/m/d")&amp;"（設定シートで固定できます）。行を増やすときは、表の最終行のすぐ下に入力します。"</f>
        <v>基準日：2026/10/22（設定シートで固定できます）。行を増やすときは、表の最終行のすぐ下に入力します。</v>
      </c>
    </row>
    <row r="4" ht="42" customHeight="1">
      <c r="A4" s="13" t="inlineStr">
        <is>
          <t>得意先</t>
        </is>
      </c>
      <c r="B4" s="13" t="inlineStr">
        <is>
          <t>条件（一覧から選択）</t>
        </is>
      </c>
      <c r="C4" s="13" t="inlineStr">
        <is>
          <t>担当者</t>
        </is>
      </c>
      <c r="D4" s="13" t="inlineStr">
        <is>
          <t>提案状況</t>
        </is>
      </c>
      <c r="E4" s="13" t="inlineStr">
        <is>
          <t>次回対応日</t>
        </is>
      </c>
      <c r="F4" s="13" t="inlineStr">
        <is>
          <t>次にすること</t>
        </is>
      </c>
      <c r="G4" s="14" t="inlineStr">
        <is>
          <t>確認（自動）</t>
        </is>
      </c>
      <c r="H4" s="13" t="inlineStr">
        <is>
          <t>合意売価</t>
        </is>
      </c>
      <c r="I4" s="13" t="inlineStr">
        <is>
          <t>売価の反映</t>
        </is>
      </c>
      <c r="J4" s="13" t="inlineStr">
        <is>
          <t>適用予定日</t>
        </is>
      </c>
      <c r="K4" s="13" t="inlineStr">
        <is>
          <t>月間数量</t>
        </is>
      </c>
      <c r="L4" s="13" t="inlineStr">
        <is>
          <t>メモ</t>
        </is>
      </c>
      <c r="M4" s="14" t="inlineStr">
        <is>
          <t>対応区分（自動）</t>
        </is>
      </c>
      <c r="N4" s="14" t="inlineStr">
        <is>
          <t>条件ID（自動）</t>
        </is>
      </c>
      <c r="O4" s="14" t="inlineStr">
        <is>
          <t>試算の対象（自動）</t>
        </is>
      </c>
      <c r="P4" s="14" t="inlineStr">
        <is>
          <t>改定前の月間粗利（自動）</t>
        </is>
      </c>
      <c r="Q4" s="14" t="inlineStr">
        <is>
          <t>据置時の月間粗利（自動）</t>
        </is>
      </c>
      <c r="R4" s="14" t="inlineStr">
        <is>
          <t>新売価案の月間粗利（自動）</t>
        </is>
      </c>
      <c r="S4" s="14" t="inlineStr">
        <is>
          <t>合意売価の月間粗利（自動）</t>
        </is>
      </c>
    </row>
    <row r="5" ht="22" customHeight="1">
      <c r="A5" s="16" t="n"/>
      <c r="B5" s="25" t="n"/>
      <c r="C5" s="16" t="n"/>
      <c r="D5" s="26" t="n"/>
      <c r="E5" s="18" t="n"/>
      <c r="F5" s="27" t="n"/>
      <c r="G5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5" s="17" t="n"/>
      <c r="I5" s="26" t="n"/>
      <c r="J5" s="18" t="n"/>
      <c r="K5" s="17" t="n"/>
      <c r="L5" s="27" t="n"/>
      <c r="M5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5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5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5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5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5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5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6" ht="22" customHeight="1">
      <c r="A6" s="16" t="n"/>
      <c r="B6" s="25" t="n"/>
      <c r="C6" s="16" t="n"/>
      <c r="D6" s="26" t="n"/>
      <c r="E6" s="18" t="n"/>
      <c r="F6" s="27" t="n"/>
      <c r="G6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6" s="17" t="n"/>
      <c r="I6" s="26" t="n"/>
      <c r="J6" s="18" t="n"/>
      <c r="K6" s="17" t="n"/>
      <c r="L6" s="27" t="n"/>
      <c r="M6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6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6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6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6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6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6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7" ht="22" customHeight="1">
      <c r="A7" s="16" t="n"/>
      <c r="B7" s="25" t="n"/>
      <c r="C7" s="16" t="n"/>
      <c r="D7" s="26" t="n"/>
      <c r="E7" s="18" t="n"/>
      <c r="F7" s="27" t="n"/>
      <c r="G7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7" s="17" t="n"/>
      <c r="I7" s="26" t="n"/>
      <c r="J7" s="18" t="n"/>
      <c r="K7" s="17" t="n"/>
      <c r="L7" s="27" t="n"/>
      <c r="M7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7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7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7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7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7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7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8" ht="22" customHeight="1">
      <c r="A8" s="16" t="n"/>
      <c r="B8" s="25" t="n"/>
      <c r="C8" s="16" t="n"/>
      <c r="D8" s="26" t="n"/>
      <c r="E8" s="18" t="n"/>
      <c r="F8" s="27" t="n"/>
      <c r="G8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8" s="17" t="n"/>
      <c r="I8" s="26" t="n"/>
      <c r="J8" s="18" t="n"/>
      <c r="K8" s="17" t="n"/>
      <c r="L8" s="27" t="n"/>
      <c r="M8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8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8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8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8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8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8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9" ht="22" customHeight="1">
      <c r="A9" s="16" t="n"/>
      <c r="B9" s="25" t="n"/>
      <c r="C9" s="16" t="n"/>
      <c r="D9" s="26" t="n"/>
      <c r="E9" s="18" t="n"/>
      <c r="F9" s="27" t="n"/>
      <c r="G9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9" s="17" t="n"/>
      <c r="I9" s="26" t="n"/>
      <c r="J9" s="18" t="n"/>
      <c r="K9" s="17" t="n"/>
      <c r="L9" s="27" t="n"/>
      <c r="M9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9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9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9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9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9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9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0" ht="22" customHeight="1">
      <c r="A10" s="16" t="n"/>
      <c r="B10" s="25" t="n"/>
      <c r="C10" s="16" t="n"/>
      <c r="D10" s="26" t="n"/>
      <c r="E10" s="18" t="n"/>
      <c r="F10" s="27" t="n"/>
      <c r="G10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0" s="17" t="n"/>
      <c r="I10" s="26" t="n"/>
      <c r="J10" s="18" t="n"/>
      <c r="K10" s="17" t="n"/>
      <c r="L10" s="27" t="n"/>
      <c r="M10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0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0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0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0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0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0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1" ht="22" customHeight="1">
      <c r="A11" s="16" t="n"/>
      <c r="B11" s="25" t="n"/>
      <c r="C11" s="16" t="n"/>
      <c r="D11" s="26" t="n"/>
      <c r="E11" s="18" t="n"/>
      <c r="F11" s="27" t="n"/>
      <c r="G11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1" s="17" t="n"/>
      <c r="I11" s="26" t="n"/>
      <c r="J11" s="18" t="n"/>
      <c r="K11" s="17" t="n"/>
      <c r="L11" s="27" t="n"/>
      <c r="M11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1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1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1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1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1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1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2" ht="22" customHeight="1">
      <c r="A12" s="16" t="n"/>
      <c r="B12" s="25" t="n"/>
      <c r="C12" s="16" t="n"/>
      <c r="D12" s="26" t="n"/>
      <c r="E12" s="18" t="n"/>
      <c r="F12" s="27" t="n"/>
      <c r="G12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2" s="17" t="n"/>
      <c r="I12" s="26" t="n"/>
      <c r="J12" s="18" t="n"/>
      <c r="K12" s="17" t="n"/>
      <c r="L12" s="27" t="n"/>
      <c r="M12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2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2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2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2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2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2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3" ht="22" customHeight="1">
      <c r="A13" s="16" t="n"/>
      <c r="B13" s="25" t="n"/>
      <c r="C13" s="16" t="n"/>
      <c r="D13" s="26" t="n"/>
      <c r="E13" s="18" t="n"/>
      <c r="F13" s="27" t="n"/>
      <c r="G13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3" s="17" t="n"/>
      <c r="I13" s="26" t="n"/>
      <c r="J13" s="18" t="n"/>
      <c r="K13" s="17" t="n"/>
      <c r="L13" s="27" t="n"/>
      <c r="M13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3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3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3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3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3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3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4" ht="22" customHeight="1">
      <c r="A14" s="16" t="n"/>
      <c r="B14" s="25" t="n"/>
      <c r="C14" s="16" t="n"/>
      <c r="D14" s="26" t="n"/>
      <c r="E14" s="18" t="n"/>
      <c r="F14" s="27" t="n"/>
      <c r="G14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4" s="17" t="n"/>
      <c r="I14" s="26" t="n"/>
      <c r="J14" s="18" t="n"/>
      <c r="K14" s="17" t="n"/>
      <c r="L14" s="27" t="n"/>
      <c r="M14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4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4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4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4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4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4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5" ht="22" customHeight="1">
      <c r="A15" s="16" t="n"/>
      <c r="B15" s="25" t="n"/>
      <c r="C15" s="16" t="n"/>
      <c r="D15" s="26" t="n"/>
      <c r="E15" s="18" t="n"/>
      <c r="F15" s="27" t="n"/>
      <c r="G15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5" s="17" t="n"/>
      <c r="I15" s="26" t="n"/>
      <c r="J15" s="18" t="n"/>
      <c r="K15" s="17" t="n"/>
      <c r="L15" s="27" t="n"/>
      <c r="M15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5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5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5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5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5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5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6" ht="22" customHeight="1">
      <c r="A16" s="16" t="n"/>
      <c r="B16" s="25" t="n"/>
      <c r="C16" s="16" t="n"/>
      <c r="D16" s="26" t="n"/>
      <c r="E16" s="18" t="n"/>
      <c r="F16" s="27" t="n"/>
      <c r="G16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6" s="17" t="n"/>
      <c r="I16" s="26" t="n"/>
      <c r="J16" s="18" t="n"/>
      <c r="K16" s="17" t="n"/>
      <c r="L16" s="27" t="n"/>
      <c r="M16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6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6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6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6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6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6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7" ht="22" customHeight="1">
      <c r="A17" s="16" t="n"/>
      <c r="B17" s="25" t="n"/>
      <c r="C17" s="16" t="n"/>
      <c r="D17" s="26" t="n"/>
      <c r="E17" s="18" t="n"/>
      <c r="F17" s="27" t="n"/>
      <c r="G17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7" s="17" t="n"/>
      <c r="I17" s="26" t="n"/>
      <c r="J17" s="18" t="n"/>
      <c r="K17" s="17" t="n"/>
      <c r="L17" s="27" t="n"/>
      <c r="M17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7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7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7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7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7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7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8" ht="22" customHeight="1">
      <c r="A18" s="16" t="n"/>
      <c r="B18" s="25" t="n"/>
      <c r="C18" s="16" t="n"/>
      <c r="D18" s="26" t="n"/>
      <c r="E18" s="18" t="n"/>
      <c r="F18" s="27" t="n"/>
      <c r="G18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8" s="17" t="n"/>
      <c r="I18" s="26" t="n"/>
      <c r="J18" s="18" t="n"/>
      <c r="K18" s="17" t="n"/>
      <c r="L18" s="27" t="n"/>
      <c r="M18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8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8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8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8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8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8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19" ht="22" customHeight="1">
      <c r="A19" s="16" t="n"/>
      <c r="B19" s="25" t="n"/>
      <c r="C19" s="16" t="n"/>
      <c r="D19" s="26" t="n"/>
      <c r="E19" s="18" t="n"/>
      <c r="F19" s="27" t="n"/>
      <c r="G19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19" s="17" t="n"/>
      <c r="I19" s="26" t="n"/>
      <c r="J19" s="18" t="n"/>
      <c r="K19" s="17" t="n"/>
      <c r="L19" s="27" t="n"/>
      <c r="M19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19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19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19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19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19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19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0" ht="22" customHeight="1">
      <c r="A20" s="16" t="n"/>
      <c r="B20" s="25" t="n"/>
      <c r="C20" s="16" t="n"/>
      <c r="D20" s="26" t="n"/>
      <c r="E20" s="18" t="n"/>
      <c r="F20" s="27" t="n"/>
      <c r="G20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0" s="17" t="n"/>
      <c r="I20" s="26" t="n"/>
      <c r="J20" s="18" t="n"/>
      <c r="K20" s="17" t="n"/>
      <c r="L20" s="27" t="n"/>
      <c r="M20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0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0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0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0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0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0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1" ht="22" customHeight="1">
      <c r="A21" s="16" t="n"/>
      <c r="B21" s="25" t="n"/>
      <c r="C21" s="16" t="n"/>
      <c r="D21" s="26" t="n"/>
      <c r="E21" s="18" t="n"/>
      <c r="F21" s="27" t="n"/>
      <c r="G21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1" s="17" t="n"/>
      <c r="I21" s="26" t="n"/>
      <c r="J21" s="18" t="n"/>
      <c r="K21" s="17" t="n"/>
      <c r="L21" s="27" t="n"/>
      <c r="M21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1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1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1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1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1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1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2" ht="22" customHeight="1">
      <c r="A22" s="16" t="n"/>
      <c r="B22" s="25" t="n"/>
      <c r="C22" s="16" t="n"/>
      <c r="D22" s="26" t="n"/>
      <c r="E22" s="18" t="n"/>
      <c r="F22" s="27" t="n"/>
      <c r="G22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2" s="17" t="n"/>
      <c r="I22" s="26" t="n"/>
      <c r="J22" s="18" t="n"/>
      <c r="K22" s="17" t="n"/>
      <c r="L22" s="27" t="n"/>
      <c r="M22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2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2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2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2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2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2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3" ht="22" customHeight="1">
      <c r="A23" s="16" t="n"/>
      <c r="B23" s="25" t="n"/>
      <c r="C23" s="16" t="n"/>
      <c r="D23" s="26" t="n"/>
      <c r="E23" s="18" t="n"/>
      <c r="F23" s="27" t="n"/>
      <c r="G23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3" s="17" t="n"/>
      <c r="I23" s="26" t="n"/>
      <c r="J23" s="18" t="n"/>
      <c r="K23" s="17" t="n"/>
      <c r="L23" s="27" t="n"/>
      <c r="M23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3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3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3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3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3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3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4" ht="22" customHeight="1">
      <c r="A24" s="16" t="n"/>
      <c r="B24" s="25" t="n"/>
      <c r="C24" s="16" t="n"/>
      <c r="D24" s="26" t="n"/>
      <c r="E24" s="18" t="n"/>
      <c r="F24" s="27" t="n"/>
      <c r="G24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4" s="17" t="n"/>
      <c r="I24" s="26" t="n"/>
      <c r="J24" s="18" t="n"/>
      <c r="K24" s="17" t="n"/>
      <c r="L24" s="27" t="n"/>
      <c r="M24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4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4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4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4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4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4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5" ht="22" customHeight="1">
      <c r="A25" s="16" t="n"/>
      <c r="B25" s="25" t="n"/>
      <c r="C25" s="16" t="n"/>
      <c r="D25" s="26" t="n"/>
      <c r="E25" s="18" t="n"/>
      <c r="F25" s="27" t="n"/>
      <c r="G25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5" s="17" t="n"/>
      <c r="I25" s="26" t="n"/>
      <c r="J25" s="18" t="n"/>
      <c r="K25" s="17" t="n"/>
      <c r="L25" s="27" t="n"/>
      <c r="M25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5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5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5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5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5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5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6" ht="22" customHeight="1">
      <c r="A26" s="16" t="n"/>
      <c r="B26" s="25" t="n"/>
      <c r="C26" s="16" t="n"/>
      <c r="D26" s="26" t="n"/>
      <c r="E26" s="18" t="n"/>
      <c r="F26" s="27" t="n"/>
      <c r="G26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6" s="17" t="n"/>
      <c r="I26" s="26" t="n"/>
      <c r="J26" s="18" t="n"/>
      <c r="K26" s="17" t="n"/>
      <c r="L26" s="27" t="n"/>
      <c r="M26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6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6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6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6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6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6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7" ht="22" customHeight="1">
      <c r="A27" s="16" t="n"/>
      <c r="B27" s="25" t="n"/>
      <c r="C27" s="16" t="n"/>
      <c r="D27" s="26" t="n"/>
      <c r="E27" s="18" t="n"/>
      <c r="F27" s="27" t="n"/>
      <c r="G27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7" s="17" t="n"/>
      <c r="I27" s="26" t="n"/>
      <c r="J27" s="18" t="n"/>
      <c r="K27" s="17" t="n"/>
      <c r="L27" s="27" t="n"/>
      <c r="M27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7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7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7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7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7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7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8" ht="22" customHeight="1">
      <c r="A28" s="16" t="n"/>
      <c r="B28" s="25" t="n"/>
      <c r="C28" s="16" t="n"/>
      <c r="D28" s="26" t="n"/>
      <c r="E28" s="18" t="n"/>
      <c r="F28" s="27" t="n"/>
      <c r="G28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8" s="17" t="n"/>
      <c r="I28" s="26" t="n"/>
      <c r="J28" s="18" t="n"/>
      <c r="K28" s="17" t="n"/>
      <c r="L28" s="27" t="n"/>
      <c r="M28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8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8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8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8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8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8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29" ht="22" customHeight="1">
      <c r="A29" s="16" t="n"/>
      <c r="B29" s="25" t="n"/>
      <c r="C29" s="16" t="n"/>
      <c r="D29" s="26" t="n"/>
      <c r="E29" s="18" t="n"/>
      <c r="F29" s="27" t="n"/>
      <c r="G29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29" s="17" t="n"/>
      <c r="I29" s="26" t="n"/>
      <c r="J29" s="18" t="n"/>
      <c r="K29" s="17" t="n"/>
      <c r="L29" s="27" t="n"/>
      <c r="M29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29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29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29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29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29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29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30" ht="22" customHeight="1">
      <c r="A30" s="16" t="n"/>
      <c r="B30" s="25" t="n"/>
      <c r="C30" s="16" t="n"/>
      <c r="D30" s="26" t="n"/>
      <c r="E30" s="18" t="n"/>
      <c r="F30" s="27" t="n"/>
      <c r="G30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30" s="17" t="n"/>
      <c r="I30" s="26" t="n"/>
      <c r="J30" s="18" t="n"/>
      <c r="K30" s="17" t="n"/>
      <c r="L30" s="27" t="n"/>
      <c r="M30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30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30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30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30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30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30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31" ht="22" customHeight="1">
      <c r="A31" s="16" t="n"/>
      <c r="B31" s="25" t="n"/>
      <c r="C31" s="16" t="n"/>
      <c r="D31" s="26" t="n"/>
      <c r="E31" s="18" t="n"/>
      <c r="F31" s="27" t="n"/>
      <c r="G31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31" s="17" t="n"/>
      <c r="I31" s="26" t="n"/>
      <c r="J31" s="18" t="n"/>
      <c r="K31" s="17" t="n"/>
      <c r="L31" s="27" t="n"/>
      <c r="M31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31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31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31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31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31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31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32" ht="22" customHeight="1">
      <c r="A32" s="16" t="n"/>
      <c r="B32" s="25" t="n"/>
      <c r="C32" s="16" t="n"/>
      <c r="D32" s="26" t="n"/>
      <c r="E32" s="18" t="n"/>
      <c r="F32" s="27" t="n"/>
      <c r="G32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32" s="17" t="n"/>
      <c r="I32" s="26" t="n"/>
      <c r="J32" s="18" t="n"/>
      <c r="K32" s="17" t="n"/>
      <c r="L32" s="27" t="n"/>
      <c r="M32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32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32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32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32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32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32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33" ht="22" customHeight="1">
      <c r="A33" s="16" t="n"/>
      <c r="B33" s="25" t="n"/>
      <c r="C33" s="16" t="n"/>
      <c r="D33" s="26" t="n"/>
      <c r="E33" s="18" t="n"/>
      <c r="F33" s="27" t="n"/>
      <c r="G33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33" s="17" t="n"/>
      <c r="I33" s="26" t="n"/>
      <c r="J33" s="18" t="n"/>
      <c r="K33" s="17" t="n"/>
      <c r="L33" s="27" t="n"/>
      <c r="M33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33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33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33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33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33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33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  <row r="34" ht="22" customHeight="1">
      <c r="A34" s="16" t="n"/>
      <c r="B34" s="25" t="n"/>
      <c r="C34" s="16" t="n"/>
      <c r="D34" s="26" t="n"/>
      <c r="E34" s="18" t="n"/>
      <c r="F34" s="27" t="n"/>
      <c r="G34" s="19" t="str">
        <f>IF(AND(T_対応一覧[[#This Row],[得意先]]="",T_対応一覧[[#This Row],[条件（一覧から選択）]]=""),"",IF(T_対応一覧[[#This Row],[得意先]]="","要確認：得意先を入力",IF(T_対応一覧[[#This Row],[条件（一覧から選択）]]="","要確認：条件を一覧から選択",IF(NOT(ISNUMBER(MATCH(SUBSTITUTE(SUBSTITUTE(SUBSTITUTE(T_対応一覧[[#This Row],[条件ID（自動）]],"~","~~"),"*","~*"),"?","~?"),T_価格条件[条件ID],0))),"要確認：条件が見つかりません（IDの変更・削除）",IF(INDEX(T_価格条件[入力状態（自動）],MATCH(SUBSTITUTE(SUBSTITUTE(SUBSTITUTE(T_対応一覧[[#This Row],[条件ID（自動）]],"~","~~"),"*","~*"),"?","~?"),T_価格条件[条件ID],0))&lt;&gt;"OK","要確認：価格条件の入力を確認",IF(AND(ISNUMBER(FIND("｜",T_対応一覧[[#This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Row],[条件ID（自動）]],"~","~~"),"*","~*"),"?","~?"),T_価格条件[条件ID],0))),"要確認：条件の内容が変わりました（選び直し）",IF(SUMPRODUCT((T_対応一覧[得意先]=T_対応一覧[[#This Row],[得意先]])*(T_対応一覧[条件ID（自動）]=T_対応一覧[[#This Row],[条件ID（自動）]]))&gt;1,"要確認：同じ得意先と条件が複数行",IF(IF(T_対応一覧[[#This Row],[提案状況]]="","未案内",T_対応一覧[[#This Row],[提案状況]])="対象外","対象外",IF(NOT(OR(T_対応一覧[[#This Row],[提案状況]]="",T_対応一覧[[#This Row],[提案状況]]="未案内",T_対応一覧[[#This Row],[提案状況]]="案内済",T_対応一覧[[#This Row],[提案状況]]="回答待ち",T_対応一覧[[#This Row],[提案状況]]="合意",T_対応一覧[[#This Row],[提案状況]]="見送り",T_対応一覧[[#This Row],[提案状況]]="対象外")),"要確認：提案状況を一覧から選択",IF(NOT(OR(T_対応一覧[[#This Row],[売価の反映]]="",T_対応一覧[[#This Row],[売価の反映]]="未反映",T_対応一覧[[#This Row],[売価の反映]]="反映済")),"要確認：売価の反映を一覧から選択",IF(AND(IF(T_対応一覧[[#This Row],[提案状況]]="","未案内",T_対応一覧[[#This Row],[提案状況]])="合意",NOT(ISNUMBER(T_対応一覧[[#This Row],[合意売価]]))),"要確認：合意売価を入力",IF(AND(ISNUMBER(T_対応一覧[[#This Row],[合意売価]]),T_対応一覧[[#This Row],[合意売価]]&lt;0),"要確認：合意売価がマイナス",IF(AND(T_対応一覧[[#This Row],[売価の反映]]="反映済",IF(T_対応一覧[[#This Row],[提案状況]]="","未案内",T_対応一覧[[#This Row],[提案状況]])&lt;&gt;"合意"),"要確認：反映済ですが提案状況が合意ではありません",IF(AND(T_対応一覧[[#This Row],[売価の反映]]="反映済",T_対応一覧[[#This Row],[適用予定日]]=""),"要確認：適用予定日を入力",IF(AND(T_対応一覧[[#This Row],[月間数量]]&lt;&gt;"",NOT(ISNUMBER(T_対応一覧[[#This Row],[月間数量]]))),"要確認：月間数量が数値でない",IF(AND(ISNUMBER(T_対応一覧[[#This Row],[月間数量]]),T_対応一覧[[#This Row],[月間数量]]&lt;0),"要確認：月間数量がマイナス",IF(OR(AND(T_対応一覧[[#This Row],[適用予定日]]&lt;&gt;"",NOT(ISNUMBER(T_対応一覧[[#This Row],[適用予定日]]))),AND(T_対応一覧[[#This Row],[次回対応日]]&lt;&gt;"",NOT(ISNUMBER(T_対応一覧[[#This Row],[次回対応日]])))),"要確認：日付は 2026/11/10 の形で入力",IF(IF(T_対応一覧[[#This Row],[提案状況]]="","未案内",T_対応一覧[[#This Row],[提案状況]])="見送り","見送り（交渉終了）",IF(AND(IF(T_対応一覧[[#This Row],[提案状況]]="","未案内",T_対応一覧[[#This Row],[提案状況]])="合意",T_対応一覧[[#This Row],[売価の反映]]="反映済"),IF(T_対応一覧[[#This Row],[適用予定日]]&gt;基準日,"反映済・"&amp;TEXT(T_対応一覧[[#This Row],[適用予定日]],"m/d")&amp;"から適用","完了"),IF(AND(ISNUMBER(T_対応一覧[[#This Row],[次回対応日]]),T_対応一覧[[#This Row],[次回対応日]]&lt;基準日),"期限超過：次回対応日",IF(AND(IF(T_対応一覧[[#This Row],[提案状況]]="","未案内",T_対応一覧[[#This Row],[提案状況]])="合意",ISNUMBER(T_対応一覧[[#This Row],[適用予定日]]),T_対応一覧[[#This Row],[適用予定日]]&lt;=基準日),"適用日到来：売価が未反映",IF(AND(ISNUMBER(T_対応一覧[[#This Row],[次回対応日]]),T_対応一覧[[#This Row],[次回対応日]]=基準日),"今日対応",IF(IF(T_対応一覧[[#This Row],[提案状況]]="","未案内",T_対応一覧[[#This Row],[提案状況]])="合意","合意後・売価が未反映",IF(T_対応一覧[[#This Row],[次回対応日]]="","次回対応日が未入力","対応中"))))))))))))))))))))))))</f>
        <v/>
      </c>
      <c r="H34" s="17" t="n"/>
      <c r="I34" s="26" t="n"/>
      <c r="J34" s="18" t="n"/>
      <c r="K34" s="17" t="n"/>
      <c r="L34" s="27" t="n"/>
      <c r="M34" s="28" t="str">
        <f>IF(AND(T_対応一覧[[#This Row],[得意先]]="",T_対応一覧[[#This Row],[条件（一覧から選択）]]=""),"",IF(IF(T_対応一覧[[#This Row],[提案状況]]="","未案内",T_対応一覧[[#This Row],[提案状況]])="対象外","対象外",IF(LEFT(T_対応一覧[[#This Row],[確認（自動）]],3)="要確認","未完了",IF(IF(T_対応一覧[[#This Row],[提案状況]]="","未案内",T_対応一覧[[#This Row],[提案状況]])="見送り","見送り",IF(AND(IF(T_対応一覧[[#This Row],[提案状況]]="","未案内",T_対応一覧[[#This Row],[提案状況]])="合意",T_対応一覧[[#This Row],[売価の反映]]="反映済",ISNUMBER(T_対応一覧[[#This Row],[合意売価]]),ISNUMBER(T_対応一覧[[#This Row],[適用予定日]])),IF(T_対応一覧[[#This Row],[適用予定日]]&gt;基準日,"適用待ち","完了"),"未完了")))))</f>
        <v/>
      </c>
      <c r="N34" s="28" t="str">
        <f>IF(TRIM(T_対応一覧[[#This Row],[条件（一覧から選択）]])="","",IF(ISNUMBER(FIND("｜",T_対応一覧[[#This Row],[条件（一覧から選択）]])),TRIM(LEFT(T_対応一覧[[#This Row],[条件（一覧から選択）]],FIND("｜",T_対応一覧[[#This Row],[条件（一覧から選択）]])-1)),TRIM(T_対応一覧[[#This Row],[条件（一覧から選択）]])))</f>
        <v/>
      </c>
      <c r="O34" s="19" t="str">
        <f>IF(AND(T_対応一覧[[#This Row],[得意先]]="",T_対応一覧[[#This Row],[条件（一覧から選択）]]=""),"",IF(IF(T_対応一覧[[#This Row],[提案状況]]="","未案内",T_対応一覧[[#This Row],[提案状況]])="対象外","対象外",IF(T_対応一覧[[#This Row],[得意先]]="","未計算：得意先なし",IF(OR(T_対応一覧[[#This Row],[条件（一覧から選択）]]="",NOT(ISNUMBER(MATCH(SUBSTITUTE(SUBSTITUTE(SUBSTITUTE(T_対応一覧[[#This Row],[条件ID（自動）]],"~","~~"),"*","~*"),"?","~?"),T_価格条件[条件ID],0)))),"未計算：条件",IF(OR(INDEX(T_価格条件[入力状態（自動）],MATCH(SUBSTITUTE(SUBSTITUTE(SUBSTITUTE(T_対応一覧[[#This Row],[条件ID（自動）]],"~","~~"),"*","~*"),"?","~?"),T_価格条件[条件ID],0))&lt;&gt;"OK",AND(ISNUMBER(FIND("｜",T_対応一覧[[#This Row],[条件（一覧から選択）]])),T_対応一覧[[#This Row],[条件（一覧から選択）]]&lt;&gt;INDEX(T_価格条件[選択用の表示（自動）],MATCH(SUBSTITUTE(SUBSTITUTE(SUBSTITUTE(T_対応一覧[[#This Row],[条件ID（自動）]],"~","~~"),"*","~*"),"?","~?"),T_価格条件[条件ID],0)))),"未計算：条件",IF(SUMPRODUCT((T_対応一覧[得意先]=T_対応一覧[[#This Row],[得意先]])*(T_対応一覧[条件ID（自動）]=T_対応一覧[[#This Row],[条件ID（自動）]]))&gt;1,"未計算：重複",IF(T_対応一覧[[#This Row],[月間数量]]="","未計算：数量なし",IF(NOT(ISNUMBER(T_対応一覧[[#This Row],[月間数量]])),"未計算：数量が数値でない",IF(T_対応一覧[[#This Row],[月間数量]]&lt;0,"未計算：数量がマイナス","対象")))))))))</f>
        <v/>
      </c>
      <c r="P34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Row],[条件ID（自動）]],"~","~~"),"*","~*"),"?","~?"),T_価格条件[条件ID],0))-INDEX(T_価格条件[改定前原価],MATCH(SUBSTITUTE(SUBSTITUTE(SUBSTITUTE(T_対応一覧[[#This Row],[条件ID（自動）]],"~","~~"),"*","~*"),"?","~?"),T_価格条件[条件ID],0)))*T_対応一覧[[#This Row],[月間数量]])</f>
        <v/>
      </c>
      <c r="Q34" s="20" t="str">
        <f>IF(T_対応一覧[[#This Row],[試算の対象（自動）]]&lt;&gt;"対象","",(INDEX(T_価格条件[現在売価],MATCH(SUBSTITUTE(SUBSTITUTE(SUBSTITUTE(T_対応一覧[[#This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R34" s="20" t="str">
        <f>IF(OR(T_対応一覧[[#This Row],[試算の対象（自動）]]&lt;&gt;"対象",NOT(ISNUMBER(INDEX(T_価格条件[新売価案],MATCH(SUBSTITUTE(SUBSTITUTE(SUBSTITUTE(T_対応一覧[[#This Row],[条件ID（自動）]],"~","~~"),"*","~*"),"?","~?"),T_価格条件[条件ID],0))))),"",(INDEX(T_価格条件[新売価案],MATCH(SUBSTITUTE(SUBSTITUTE(SUBSTITUTE(T_対応一覧[[#This Row],[条件ID（自動）]],"~","~~"),"*","~*"),"?","~?"),T_価格条件[条件ID],0))-INDEX(T_価格条件[改定後原価],MATCH(SUBSTITUTE(SUBSTITUTE(SUBSTITUTE(T_対応一覧[[#This Row],[条件ID（自動）]],"~","~~"),"*","~*"),"?","~?"),T_価格条件[条件ID],0)))*T_対応一覧[[#This Row],[月間数量]])</f>
        <v/>
      </c>
      <c r="S34" s="20" t="str">
        <f>IF(OR(T_対応一覧[[#This Row],[試算の対象（自動）]]&lt;&gt;"対象",IF(T_対応一覧[[#This Row],[提案状況]]="","未案内",T_対応一覧[[#This Row],[提案状況]])&lt;&gt;"合意",NOT(ISNUMBER(T_対応一覧[[#This Row],[合意売価]]))),"",(T_対応一覧[[#This Row],[合意売価]]-INDEX(T_価格条件[改定後原価],MATCH(SUBSTITUTE(SUBSTITUTE(SUBSTITUTE(T_対応一覧[[#This Row],[条件ID（自動）]],"~","~~"),"*","~*"),"?","~?"),T_価格条件[条件ID],0)))*T_対応一覧[[#This Row],[月間数量]])</f>
        <v/>
      </c>
    </row>
  </sheetData>
  <conditionalFormatting sqref="H5:H2004">
    <cfRule type="expression" priority="1" dxfId="0">
      <formula>AND(ISNUMBER(H5),MOD(ABS(H5),1)&gt;0)</formula>
    </cfRule>
  </conditionalFormatting>
  <conditionalFormatting sqref="K5:K2004">
    <cfRule type="expression" priority="2" dxfId="0">
      <formula>AND(ISNUMBER(K5),MOD(ABS(K5),1)&gt;0)</formula>
    </cfRule>
  </conditionalFormatting>
  <conditionalFormatting sqref="G5:G2004">
    <cfRule type="expression" priority="3" dxfId="2" stopIfTrue="1">
      <formula>LEFT(G5,4)="期限超過"</formula>
    </cfRule>
    <cfRule type="expression" priority="4" dxfId="2" stopIfTrue="1">
      <formula>LEFT(G5,5)="適用日到来"</formula>
    </cfRule>
    <cfRule type="expression" priority="5" dxfId="1" stopIfTrue="1">
      <formula>LEFT(G5,3)="要確認"</formula>
    </cfRule>
    <cfRule type="expression" priority="6" dxfId="3" stopIfTrue="1">
      <formula>LEFT(G5,4)="今日対応"</formula>
    </cfRule>
    <cfRule type="expression" priority="7" dxfId="4" stopIfTrue="1">
      <formula>LEFT(G5,3)="合意後"</formula>
    </cfRule>
  </conditionalFormatting>
  <dataValidations count="7">
    <dataValidation sqref="B5:B2004" showDropDown="0" showInputMessage="1" showErrorMessage="1" allowBlank="1" errorTitle="条件" error="価格条件シートにある条件を▼から選んでください。" promptTitle="条件" prompt="▼から価格条件を選びます。" type="list" errorStyle="stop">
      <formula1>条件リスト</formula1>
    </dataValidation>
    <dataValidation sqref="D5:D2004" showDropDown="0" showInputMessage="0" showErrorMessage="1" allowBlank="1" errorTitle="提案状況" error="未案内・案内済・回答待ち・合意・見送り・対象外から選んでください。" type="list" errorStyle="stop">
      <formula1>提案状況リスト</formula1>
    </dataValidation>
    <dataValidation sqref="I5:I2004" showDropDown="0" showInputMessage="0" showErrorMessage="1" allowBlank="1" errorTitle="売価の反映" error="未反映・反映済から選んでください。" type="list" errorStyle="stop">
      <formula1>反映リスト</formula1>
    </dataValidation>
    <dataValidation sqref="H5:H2004" showDropDown="0" showInputMessage="0" showErrorMessage="1" allowBlank="1" errorTitle="合意売価" error="0以上の金額（税抜・円）を数字で入力してください。" type="decimal" errorStyle="stop" operator="between">
      <formula1>0</formula1>
      <formula2>100000000</formula2>
    </dataValidation>
    <dataValidation sqref="K5:K2004" showDropDown="0" showInputMessage="0" showErrorMessage="1" allowBlank="1" errorTitle="月間数量" error="0以上の数を入力してください（100万まで）。" type="decimal" errorStyle="stop" operator="between">
      <formula1>0</formula1>
      <formula2>1000000</formula2>
    </dataValidation>
    <dataValidation sqref="E5:E2004" showDropDown="0" showInputMessage="0" showErrorMessage="1" allowBlank="1" errorTitle="次回対応日" error="日付を 2026/11/10 のように入力してください。" type="date" errorStyle="stop" operator="between">
      <formula1>36526</formula1>
      <formula2>73050</formula2>
    </dataValidation>
    <dataValidation sqref="J5:J2004" showDropDown="0" showInputMessage="0" showErrorMessage="1" allowBlank="1" errorTitle="適用予定日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6" customWidth="1" min="4" max="4"/>
    <col width="18" customWidth="1" min="5" max="5"/>
    <col width="18" customWidth="1" min="6" max="6"/>
    <col width="12" customWidth="1" min="7" max="7"/>
    <col width="48" customWidth="1" min="8" max="8"/>
  </cols>
  <sheetData>
    <row r="1" ht="30" customHeight="1">
      <c r="A1" s="12" t="inlineStr">
        <is>
          <t>確認・集計（全体集計：フィルターで絞っても、対応一覧の全行を数えます）</t>
        </is>
      </c>
    </row>
    <row r="2">
      <c r="A2" s="10" t="str">
        <f>"基準日："&amp;TEXT(基準日,"yyyy/m/d")&amp;"　改定："&amp;IF('設定'!C4="","（設定シートで名前を入力）",'設定'!C4)</f>
        <v>基準日：2026/10/22　改定：（設定シートで名前を入力）</v>
      </c>
    </row>
    <row r="3">
      <c r="A3" s="29" t="str">
        <f>IF((SUMPRODUCT(--(((T_対応一覧[得意先]&lt;&gt;"")+(T_対応一覧[条件（一覧から選択）]&lt;&gt;""))&gt;0)))=0,"対応一覧にまだ入力がありません。得意先と条件を入れると、ここに件数と試算が出ます。","")</f>
        <v>対応一覧にまだ入力がありません。得意先と条件を入れると、ここに件数と試算が出ます。</v>
      </c>
    </row>
    <row r="5">
      <c r="A5" s="30" t="inlineStr">
        <is>
          <t>対応の件数</t>
        </is>
      </c>
    </row>
    <row r="6">
      <c r="A6" s="31" t="inlineStr">
        <is>
          <t>項目</t>
        </is>
      </c>
      <c r="B6" s="31" t="inlineStr">
        <is>
          <t>件数</t>
        </is>
      </c>
      <c r="C6" s="31" t="inlineStr">
        <is>
          <t>数え方</t>
        </is>
      </c>
    </row>
    <row r="7" ht="34" customHeight="1">
      <c r="A7" s="32" t="inlineStr">
        <is>
          <t>対応行（得意先×条件）</t>
        </is>
      </c>
      <c r="B7" s="33">
        <f>SUMPRODUCT(--(((T_対応一覧[得意先]&lt;&gt;"")+(T_対応一覧[条件（一覧から選択）]&lt;&gt;""))&gt;0))</f>
        <v>0</v>
      </c>
      <c r="C7" s="34" t="inlineStr">
        <is>
          <t>対応一覧で、得意先か条件が入っている行の数。1社が3商品なら3行です。</t>
        </is>
      </c>
    </row>
    <row r="8" ht="34" customHeight="1">
      <c r="A8" s="32" t="inlineStr">
        <is>
          <t>得意先の数（対象外を除く）</t>
        </is>
      </c>
      <c r="B8" s="33" t="str">
        <f>IF((SUMPRODUCT(--(((T_対応一覧[得意先]&lt;&gt;"")+(T_対応一覧[条件（一覧から選択）]&lt;&gt;""))&gt;0)))=0,"—",SUMPRODUCT((T_対応一覧[得意先]&lt;&gt;"")*(T_対応一覧[提案状況]&lt;&gt;"対象外")/(COUNTIFS(T_対応一覧[得意先],"="&amp;SUBSTITUTE(SUBSTITUTE(SUBSTITUTE(T_対応一覧[得意先],"~","~~"),"*","~*"),"?","~?"),T_対応一覧[提案状況],"&lt;&gt;対象外")+(1-(T_対応一覧[得意先]&lt;&gt;"")*(T_対応一覧[提案状況]&lt;&gt;"対象外")))))</f>
        <v>—</v>
      </c>
      <c r="C8" s="34" t="inlineStr">
        <is>
          <t>対象外以外の行にある得意先の名前（重複を除く）の数。表記ゆれ（株式会社の有無など）は別の得意先として数えます。</t>
        </is>
      </c>
    </row>
    <row r="9" ht="34" customHeight="1">
      <c r="A9" s="32" t="inlineStr">
        <is>
          <t>未案内</t>
        </is>
      </c>
      <c r="B9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(T_対応一覧[提案状況]="")+(T_対応一覧[提案状況]="未案内"))))</f>
        <v>—</v>
      </c>
      <c r="C9" s="34" t="inlineStr">
        <is>
          <t>提案状況が「未案内」または空欄の行。</t>
        </is>
      </c>
    </row>
    <row r="10" ht="34" customHeight="1">
      <c r="A10" s="32" t="inlineStr">
        <is>
          <t>案内済</t>
        </is>
      </c>
      <c r="B10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案内済")))</f>
        <v>—</v>
      </c>
      <c r="C10" s="34" t="inlineStr">
        <is>
          <t>提案状況が「案内済」の行。</t>
        </is>
      </c>
    </row>
    <row r="11" ht="34" customHeight="1">
      <c r="A11" s="32" t="inlineStr">
        <is>
          <t>回答待ち</t>
        </is>
      </c>
      <c r="B11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回答待ち")))</f>
        <v>—</v>
      </c>
      <c r="C11" s="34" t="inlineStr">
        <is>
          <t>提案状況が「回答待ち」の行。</t>
        </is>
      </c>
    </row>
    <row r="12" ht="34" customHeight="1">
      <c r="A12" s="32" t="inlineStr">
        <is>
          <t>合意</t>
        </is>
      </c>
      <c r="B12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合意")))</f>
        <v>—</v>
      </c>
      <c r="C12" s="34" t="inlineStr">
        <is>
          <t>提案状況が「合意」の行（売価の反映の有無は問わない）。</t>
        </is>
      </c>
    </row>
    <row r="13" ht="34" customHeight="1">
      <c r="A13" s="32" t="inlineStr">
        <is>
          <t>見送り</t>
        </is>
      </c>
      <c r="B13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見送り")))</f>
        <v>—</v>
      </c>
      <c r="C13" s="34" t="inlineStr">
        <is>
          <t>交渉を終え、今回は値上げしない行。</t>
        </is>
      </c>
    </row>
    <row r="14" ht="34" customHeight="1">
      <c r="A14" s="32" t="inlineStr">
        <is>
          <t>対象外</t>
        </is>
      </c>
      <c r="B14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対象外")))</f>
        <v>—</v>
      </c>
      <c r="C14" s="34" t="inlineStr">
        <is>
          <t>今回の改定の対象ではない行。試算には含めません。</t>
        </is>
      </c>
    </row>
    <row r="15" ht="34" customHeight="1">
      <c r="A15" s="32" t="inlineStr">
        <is>
          <t>合意後・売価が未反映</t>
        </is>
      </c>
      <c r="B15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合意")*(T_対応一覧[売価の反映]&lt;&gt;"反映済")))</f>
        <v>—</v>
      </c>
      <c r="C15" s="34" t="inlineStr">
        <is>
          <t>合意したが、売価の反映が「反映済」になっていない行。</t>
        </is>
      </c>
    </row>
    <row r="16" ht="34" customHeight="1">
      <c r="A16" s="32" t="inlineStr">
        <is>
          <t>適用日が来たのに未反映</t>
        </is>
      </c>
      <c r="B16" s="33" t="str">
        <f>IF((SUMPRODUCT(--(((T_対応一覧[得意先]&lt;&gt;"")+(T_対応一覧[条件（一覧から選択）]&lt;&gt;""))&gt;0)))=0,"—",SUMPRODUCT((((T_対応一覧[得意先]&lt;&gt;"")+(T_対応一覧[条件（一覧から選択）]&lt;&gt;""))&gt;0)*(T_対応一覧[提案状況]="合意")*(T_対応一覧[売価の反映]&lt;&gt;"反映済")*ISNUMBER(T_対応一覧[適用予定日])*(T_対応一覧[適用予定日]&lt;=基準日)))</f>
        <v>—</v>
      </c>
      <c r="C16" s="34" t="inlineStr">
        <is>
          <t>合意・未反映で、適用予定日が基準日以前の行。急いで反映が必要です。</t>
        </is>
      </c>
    </row>
    <row r="17" ht="34" customHeight="1">
      <c r="A17" s="32" t="inlineStr">
        <is>
          <t>反映済・適用待ち</t>
        </is>
      </c>
      <c r="B17" s="33" t="str">
        <f>IF((SUMPRODUCT(--(((T_対応一覧[得意先]&lt;&gt;"")+(T_対応一覧[条件（一覧から選択）]&lt;&gt;""))&gt;0)))=0,"—",COUNTIF(T_対応一覧[対応区分（自動）],"適用待ち"))</f>
        <v>—</v>
      </c>
      <c r="C17" s="34" t="inlineStr">
        <is>
          <t>合意・反映済で、適用予定日が基準日より後の行。</t>
        </is>
      </c>
    </row>
    <row r="18" ht="34" customHeight="1">
      <c r="A18" s="32" t="inlineStr">
        <is>
          <t>完了</t>
        </is>
      </c>
      <c r="B18" s="33" t="str">
        <f>IF((SUMPRODUCT(--(((T_対応一覧[得意先]&lt;&gt;"")+(T_対応一覧[条件（一覧から選択）]&lt;&gt;""))&gt;0)))=0,"—",COUNTIF(T_対応一覧[対応区分（自動）],"完了"))</f>
        <v>—</v>
      </c>
      <c r="C18" s="34" t="inlineStr">
        <is>
          <t>合意・反映済・合意売価あり・適用予定日が基準日以前の行。</t>
        </is>
      </c>
    </row>
    <row r="19" ht="34" customHeight="1">
      <c r="A19" s="32" t="inlineStr">
        <is>
          <t>次回対応日を過ぎた未完了</t>
        </is>
      </c>
      <c r="B19" s="33" t="str">
        <f>IF((SUMPRODUCT(--(((T_対応一覧[得意先]&lt;&gt;"")+(T_対応一覧[条件（一覧から選択）]&lt;&gt;""))&gt;0)))=0,"—",COUNTIFS(T_対応一覧[対応区分（自動）],"未完了",T_対応一覧[次回対応日],"&lt;"&amp;基準日))</f>
        <v>—</v>
      </c>
      <c r="C19" s="34" t="inlineStr">
        <is>
          <t>対応区分が「未完了」で、次回対応日が基準日より前の行。</t>
        </is>
      </c>
    </row>
    <row r="20" ht="34" customHeight="1">
      <c r="A20" s="32" t="inlineStr">
        <is>
          <t>今日が次回対応日</t>
        </is>
      </c>
      <c r="B20" s="33" t="str">
        <f>IF((SUMPRODUCT(--(((T_対応一覧[得意先]&lt;&gt;"")+(T_対応一覧[条件（一覧から選択）]&lt;&gt;""))&gt;0)))=0,"—",COUNTIFS(T_対応一覧[対応区分（自動）],"未完了",T_対応一覧[次回対応日],基準日))</f>
        <v>—</v>
      </c>
      <c r="C20" s="34" t="inlineStr">
        <is>
          <t>対応区分が「未完了」で、次回対応日が基準日と同じ行。</t>
        </is>
      </c>
    </row>
    <row r="21" ht="34" customHeight="1">
      <c r="A21" s="32" t="inlineStr">
        <is>
          <t>次回対応日が未入力</t>
        </is>
      </c>
      <c r="B21" s="33" t="str">
        <f>IF((SUMPRODUCT(--(((T_対応一覧[得意先]&lt;&gt;"")+(T_対応一覧[条件（一覧から選択）]&lt;&gt;""))&gt;0)))=0,"—",COUNTIFS(T_対応一覧[対応区分（自動）],"未完了",T_対応一覧[次回対応日],""))</f>
        <v>—</v>
      </c>
      <c r="C21" s="34" t="inlineStr">
        <is>
          <t>対応区分が「未完了」なのに、次回対応日が空欄の行。</t>
        </is>
      </c>
    </row>
    <row r="22" ht="34" customHeight="1">
      <c r="A22" s="32" t="inlineStr">
        <is>
          <t>要確認（入力の不足・矛盾）</t>
        </is>
      </c>
      <c r="B22" s="33" t="str">
        <f>IF((SUMPRODUCT(--(((T_対応一覧[得意先]&lt;&gt;"")+(T_対応一覧[条件（一覧から選択）]&lt;&gt;""))&gt;0)))=0,"—",COUNTIF(T_対応一覧[確認（自動）],"要確認：*"))</f>
        <v>—</v>
      </c>
      <c r="C22" s="34" t="inlineStr">
        <is>
          <t>確認列が「要確認：」で始まる行。行ごとの理由は確認列に出ます。</t>
        </is>
      </c>
    </row>
    <row r="24">
      <c r="A24" s="30" t="inlineStr">
        <is>
          <t>月間粗利の試算（数量一定・税抜）</t>
        </is>
      </c>
    </row>
    <row r="25" ht="34" customHeight="1">
      <c r="A25" s="14" t="inlineStr">
        <is>
          <t>試算</t>
        </is>
      </c>
      <c r="B25" s="14" t="inlineStr">
        <is>
          <t>対象の行</t>
        </is>
      </c>
      <c r="C25" s="14" t="inlineStr">
        <is>
          <t>改定前の月間粗利</t>
        </is>
      </c>
      <c r="D25" s="14" t="inlineStr">
        <is>
          <t>試算の月間粗利</t>
        </is>
      </c>
      <c r="E25" s="14" t="inlineStr">
        <is>
          <t>差（試算−改定前）</t>
        </is>
      </c>
      <c r="F25" s="14" t="inlineStr">
        <is>
          <t>年間の目安（差×12）</t>
        </is>
      </c>
      <c r="G25" s="14" t="inlineStr">
        <is>
          <t>未計算の行</t>
        </is>
      </c>
      <c r="H25" s="14" t="inlineStr">
        <is>
          <t>対象の行の決め方</t>
        </is>
      </c>
    </row>
    <row r="26" ht="48" customHeight="1">
      <c r="A26" s="35" t="inlineStr">
        <is>
          <t>売価を据え置いた場合</t>
        </is>
      </c>
      <c r="B26" s="36" t="str">
        <f>IF((SUMPRODUCT(--(((T_対応一覧[得意先]&lt;&gt;"")+(T_対応一覧[条件（一覧から選択）]&lt;&gt;""))&gt;0)))=0,"—",COUNTIF(T_対応一覧[試算の対象（自動）],"対象"))</f>
        <v>—</v>
      </c>
      <c r="C26" s="37" t="str">
        <f>IF(OR((SUMPRODUCT(--(((T_対応一覧[得意先]&lt;&gt;"")+(T_対応一覧[条件（一覧から選択）]&lt;&gt;""))&gt;0)))=0,(COUNTIF(T_対応一覧[試算の対象（自動）],"対象"))=0),"—",SUM(T_対応一覧[改定前の月間粗利（自動）]))</f>
        <v>—</v>
      </c>
      <c r="D26" s="37" t="str">
        <f>IF(OR((SUMPRODUCT(--(((T_対応一覧[得意先]&lt;&gt;"")+(T_対応一覧[条件（一覧から選択）]&lt;&gt;""))&gt;0)))=0,(COUNTIF(T_対応一覧[試算の対象（自動）],"対象"))=0),"—",SUM(T_対応一覧[据置時の月間粗利（自動）]))</f>
        <v>—</v>
      </c>
      <c r="E26" s="38" t="str">
        <f>IF(OR((SUMPRODUCT(--(((T_対応一覧[得意先]&lt;&gt;"")+(T_対応一覧[条件（一覧から選択）]&lt;&gt;""))&gt;0)))=0,(COUNTIF(T_対応一覧[試算の対象（自動）],"対象"))=0),"—",SUM(T_対応一覧[据置時の月間粗利（自動）])-SUM(T_対応一覧[改定前の月間粗利（自動）]))</f>
        <v>—</v>
      </c>
      <c r="F26" s="37" t="str">
        <f>IF(OR((SUMPRODUCT(--(((T_対応一覧[得意先]&lt;&gt;"")+(T_対応一覧[条件（一覧から選択）]&lt;&gt;""))&gt;0)))=0,(COUNTIF(T_対応一覧[試算の対象（自動）],"対象"))=0),"—",(SUM(T_対応一覧[据置時の月間粗利（自動）])-SUM(T_対応一覧[改定前の月間粗利（自動）]))*12)</f>
        <v>—</v>
      </c>
      <c r="G26" s="36" t="str">
        <f>IF((SUMPRODUCT(--(((T_対応一覧[得意先]&lt;&gt;"")+(T_対応一覧[条件（一覧から選択）]&lt;&gt;""))&gt;0)))=0,"—",COUNTIF(T_対応一覧[試算の対象（自動）],"未計算*"))</f>
        <v>—</v>
      </c>
      <c r="H26" s="34" t="inlineStr">
        <is>
          <t>試算の対象が「対象」の行すべて（見送りを含み、対象外を除く）。</t>
        </is>
      </c>
    </row>
    <row r="27" ht="48" customHeight="1">
      <c r="A27" s="35" t="inlineStr">
        <is>
          <t>新売価案を適用した場合</t>
        </is>
      </c>
      <c r="B27" s="36" t="str">
        <f>IF((SUMPRODUCT(--(((T_対応一覧[得意先]&lt;&gt;"")+(T_対応一覧[条件（一覧から選択）]&lt;&gt;""))&gt;0)))=0,"—",COUNT(T_対応一覧[新売価案の月間粗利（自動）]))</f>
        <v>—</v>
      </c>
      <c r="C27" s="37" t="str">
        <f>IF(OR((SUMPRODUCT(--(((T_対応一覧[得意先]&lt;&gt;"")+(T_対応一覧[条件（一覧から選択）]&lt;&gt;""))&gt;0)))=0,(COUNT(T_対応一覧[新売価案の月間粗利（自動）]))=0),"—",SUMPRODUCT(--ISNUMBER(T_対応一覧[新売価案の月間粗利（自動）]),T_対応一覧[改定前の月間粗利（自動）]))</f>
        <v>—</v>
      </c>
      <c r="D27" s="37" t="str">
        <f>IF(OR((SUMPRODUCT(--(((T_対応一覧[得意先]&lt;&gt;"")+(T_対応一覧[条件（一覧から選択）]&lt;&gt;""))&gt;0)))=0,(COUNT(T_対応一覧[新売価案の月間粗利（自動）]))=0),"—",SUM(T_対応一覧[新売価案の月間粗利（自動）]))</f>
        <v>—</v>
      </c>
      <c r="E27" s="38" t="str">
        <f>IF(OR((SUMPRODUCT(--(((T_対応一覧[得意先]&lt;&gt;"")+(T_対応一覧[条件（一覧から選択）]&lt;&gt;""))&gt;0)))=0,(COUNT(T_対応一覧[新売価案の月間粗利（自動）]))=0),"—",SUM(T_対応一覧[新売価案の月間粗利（自動）])-SUMPRODUCT(--ISNUMBER(T_対応一覧[新売価案の月間粗利（自動）]),T_対応一覧[改定前の月間粗利（自動）]))</f>
        <v>—</v>
      </c>
      <c r="F27" s="37" t="str">
        <f>IF(OR((SUMPRODUCT(--(((T_対応一覧[得意先]&lt;&gt;"")+(T_対応一覧[条件（一覧から選択）]&lt;&gt;""))&gt;0)))=0,(COUNT(T_対応一覧[新売価案の月間粗利（自動）]))=0),"—",(SUM(T_対応一覧[新売価案の月間粗利（自動）])-SUMPRODUCT(--ISNUMBER(T_対応一覧[新売価案の月間粗利（自動）]),T_対応一覧[改定前の月間粗利（自動）]))*12)</f>
        <v>—</v>
      </c>
      <c r="G27" s="36" t="str">
        <f>IF((SUMPRODUCT(--(((T_対応一覧[得意先]&lt;&gt;"")+(T_対応一覧[条件（一覧から選択）]&lt;&gt;""))&gt;0)))=0,"—",COUNTIF(T_対応一覧[試算の対象（自動）],"未計算*")+COUNTIF(T_対応一覧[試算の対象（自動）],"対象")-COUNT(T_対応一覧[新売価案の月間粗利（自動）]))</f>
        <v>—</v>
      </c>
      <c r="H27" s="34" t="inlineStr">
        <is>
          <t>上のうち、価格条件に新売価案がある行だけ。新売価案が無い行は未計算に数えます。</t>
        </is>
      </c>
    </row>
    <row r="28" ht="48" customHeight="1">
      <c r="A28" s="35" t="inlineStr">
        <is>
          <t>合意売価を適用した場合</t>
        </is>
      </c>
      <c r="B28" s="36" t="str">
        <f>IF((SUMPRODUCT(--(((T_対応一覧[得意先]&lt;&gt;"")+(T_対応一覧[条件（一覧から選択）]&lt;&gt;""))&gt;0)))=0,"—",COUNT(T_対応一覧[合意売価の月間粗利（自動）]))</f>
        <v>—</v>
      </c>
      <c r="C28" s="37" t="str">
        <f>IF(OR((SUMPRODUCT(--(((T_対応一覧[得意先]&lt;&gt;"")+(T_対応一覧[条件（一覧から選択）]&lt;&gt;""))&gt;0)))=0,(COUNT(T_対応一覧[合意売価の月間粗利（自動）]))=0),"—",SUMPRODUCT(--ISNUMBER(T_対応一覧[合意売価の月間粗利（自動）]),T_対応一覧[改定前の月間粗利（自動）]))</f>
        <v>—</v>
      </c>
      <c r="D28" s="37" t="str">
        <f>IF(OR((SUMPRODUCT(--(((T_対応一覧[得意先]&lt;&gt;"")+(T_対応一覧[条件（一覧から選択）]&lt;&gt;""))&gt;0)))=0,(COUNT(T_対応一覧[合意売価の月間粗利（自動）]))=0),"—",SUM(T_対応一覧[合意売価の月間粗利（自動）]))</f>
        <v>—</v>
      </c>
      <c r="E28" s="38" t="str">
        <f>IF(OR((SUMPRODUCT(--(((T_対応一覧[得意先]&lt;&gt;"")+(T_対応一覧[条件（一覧から選択）]&lt;&gt;""))&gt;0)))=0,(COUNT(T_対応一覧[合意売価の月間粗利（自動）]))=0),"—",SUM(T_対応一覧[合意売価の月間粗利（自動）])-SUMPRODUCT(--ISNUMBER(T_対応一覧[合意売価の月間粗利（自動）]),T_対応一覧[改定前の月間粗利（自動）]))</f>
        <v>—</v>
      </c>
      <c r="F28" s="37" t="str">
        <f>IF(OR((SUMPRODUCT(--(((T_対応一覧[得意先]&lt;&gt;"")+(T_対応一覧[条件（一覧から選択）]&lt;&gt;""))&gt;0)))=0,(COUNT(T_対応一覧[合意売価の月間粗利（自動）]))=0),"—",(SUM(T_対応一覧[合意売価の月間粗利（自動）])-SUMPRODUCT(--ISNUMBER(T_対応一覧[合意売価の月間粗利（自動）]),T_対応一覧[改定前の月間粗利（自動）]))*12)</f>
        <v>—</v>
      </c>
      <c r="G28" s="36" t="str">
        <f>IF((SUMPRODUCT(--(((T_対応一覧[得意先]&lt;&gt;"")+(T_対応一覧[条件（一覧から選択）]&lt;&gt;""))&gt;0)))=0,"—",SUMPRODUCT((T_対応一覧[提案状況]="合意")*(1-ISNUMBER(T_対応一覧[合意売価の月間粗利（自動）]))))</f>
        <v>—</v>
      </c>
      <c r="H28" s="34" t="inlineStr">
        <is>
          <t>提案状況が「合意」で、合意売価と数量が入っている行だけ。未計算は合意なのに計算できない行の数です。</t>
        </is>
      </c>
    </row>
    <row r="29">
      <c r="A29" s="2" t="inlineStr">
        <is>
          <t>未計算の内訳（据置の試算）</t>
        </is>
      </c>
      <c r="B29" s="39" t="str">
        <f>IF((SUMPRODUCT(--(((T_対応一覧[得意先]&lt;&gt;"")+(T_対応一覧[条件（一覧から選択）]&lt;&gt;""))&gt;0)))=0,"—","数量なし "&amp;COUNTIF(T_対応一覧[試算の対象（自動）],"未計算：数量なし")&amp;"件／条件の不備 "&amp;COUNTIF(T_対応一覧[試算の対象（自動）],"未計算：条件")&amp;"件／同じ得意先と条件の重複 "&amp;COUNTIF(T_対応一覧[試算の対象（自動）],"未計算：重複")&amp;"件／その他 "&amp;(COUNTIF(T_対応一覧[試算の対象（自動）],"未計算*")-COUNTIF(T_対応一覧[試算の対象（自動）],"未計算：数量なし")-COUNTIF(T_対応一覧[試算の対象（自動）],"未計算：条件")-COUNTIF(T_対応一覧[試算の対象（自動）],"未計算：重複"))&amp;"件")</f>
        <v>—</v>
      </c>
    </row>
    <row r="30">
      <c r="A30" s="2" t="inlineStr">
        <is>
          <t>3つの試算は対象の行が違います。どの試算も、同じ行どうしで改定前と比べています。試算どうしを足したり、差を比べたりしないでください。</t>
        </is>
      </c>
    </row>
    <row r="31">
      <c r="A31" s="2" t="inlineStr">
        <is>
          <t>月間数量が一定と仮定した試算です。値上げによる注文の増減は予測していません。会計上の利益や、確定した損失ではありません。</t>
        </is>
      </c>
    </row>
    <row r="32">
      <c r="A32" s="2" t="inlineStr">
        <is>
          <t>改定日が月の途中でも日割りはしません。年間の目安は、同じ条件が12か月続いた場合の単純な掛け算です。</t>
        </is>
      </c>
    </row>
    <row r="34">
      <c r="A34" s="30" t="inlineStr">
        <is>
          <t>価格条件の状態</t>
        </is>
      </c>
    </row>
    <row r="35">
      <c r="A35" s="40" t="inlineStr">
        <is>
          <t>項目</t>
        </is>
      </c>
      <c r="B35" s="40" t="inlineStr">
        <is>
          <t>件数</t>
        </is>
      </c>
      <c r="C35" s="40" t="inlineStr">
        <is>
          <t>数え方</t>
        </is>
      </c>
    </row>
    <row r="36">
      <c r="A36" s="41" t="inlineStr">
        <is>
          <t>条件の数</t>
        </is>
      </c>
      <c r="B36" s="42">
        <f>SUMPRODUCT(--(T_価格条件[入力状態（自動）]&lt;&gt;""))</f>
        <v>0</v>
      </c>
      <c r="C36" s="43" t="inlineStr">
        <is>
          <t>価格条件で、何か入力されている行の数。</t>
        </is>
      </c>
    </row>
    <row r="37">
      <c r="A37" s="41" t="inlineStr">
        <is>
          <t>入力が整っている条件</t>
        </is>
      </c>
      <c r="B37" s="42">
        <f>COUNTIF(T_価格条件[入力状態（自動）],"OK")</f>
        <v>0</v>
      </c>
      <c r="C37" s="43" t="inlineStr">
        <is>
          <t>入力状態が「OK」の行。</t>
        </is>
      </c>
    </row>
    <row r="38">
      <c r="A38" s="41" t="inlineStr">
        <is>
          <t>入力が足りない・要確認の条件</t>
        </is>
      </c>
      <c r="B38" s="42">
        <f>COUNTIF(T_価格条件[入力状態（自動）],"未入力*")+COUNTIF(T_価格条件[入力状態（自動）],"要確認*")</f>
        <v>0</v>
      </c>
      <c r="C38" s="43" t="inlineStr">
        <is>
          <t>入力状態が「未入力」「要確認」で始まる行。</t>
        </is>
      </c>
    </row>
    <row r="39">
      <c r="A39" s="41" t="inlineStr">
        <is>
          <t>対応一覧で使われていない条件</t>
        </is>
      </c>
      <c r="B39" s="42">
        <f>COUNTIFS(T_価格条件[入力状態（自動）],"OK",T_価格条件[対応一覧での使用（自動）],0)</f>
        <v>0</v>
      </c>
      <c r="C39" s="43" t="inlineStr">
        <is>
          <t>入力はOKだが、対応一覧のどの行からも選ばれていない条件。</t>
        </is>
      </c>
    </row>
  </sheetData>
  <printOptions horizontalCentered="0"/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T9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26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40" customWidth="1" min="18" max="18"/>
    <col width="34" customWidth="1" min="19" max="19"/>
    <col width="14" customWidth="1" min="20" max="20"/>
  </cols>
  <sheetData>
    <row r="1" ht="30" customHeight="1">
      <c r="A1" s="12" t="inlineStr">
        <is>
          <t>記入例：価格条件（架空のデータ）</t>
        </is>
      </c>
    </row>
    <row r="2" ht="20" customHeight="1">
      <c r="A2" s="2" t="inlineStr">
        <is>
          <t>会社名・商品・金額はすべて架空です。実際の入力は「価格条件」「対応一覧」へ。ここは書き方の見本で、実際の集計には含まれません。</t>
        </is>
      </c>
    </row>
    <row r="3">
      <c r="A3" s="10" t="inlineStr">
        <is>
          <t>記入例の切り上げ単位</t>
        </is>
      </c>
      <c r="C3" s="44" t="n">
        <v>1</v>
      </c>
    </row>
    <row r="5" ht="42" customHeight="1">
      <c r="A5" s="13" t="inlineStr">
        <is>
          <t>条件ID</t>
        </is>
      </c>
      <c r="B5" s="13" t="inlineStr">
        <is>
          <t>商品名・品番</t>
        </is>
      </c>
      <c r="C5" s="13" t="inlineStr">
        <is>
          <t>価格区分</t>
        </is>
      </c>
      <c r="D5" s="13" t="inlineStr">
        <is>
          <t>改定前原価</t>
        </is>
      </c>
      <c r="E5" s="13" t="inlineStr">
        <is>
          <t>改定後原価</t>
        </is>
      </c>
      <c r="F5" s="13" t="inlineStr">
        <is>
          <t>現在売価</t>
        </is>
      </c>
      <c r="G5" s="13" t="inlineStr">
        <is>
          <t>新売価案</t>
        </is>
      </c>
      <c r="H5" s="13" t="inlineStr">
        <is>
          <t>仕入改定日</t>
        </is>
      </c>
      <c r="I5" s="14" t="inlineStr">
        <is>
          <t>入力状態（自動）</t>
        </is>
      </c>
      <c r="J5" s="14" t="inlineStr">
        <is>
          <t>改定前の粗利（自動）</t>
        </is>
      </c>
      <c r="K5" s="14" t="inlineStr">
        <is>
          <t>改定前の粗利率（自動）</t>
        </is>
      </c>
      <c r="L5" s="14" t="inlineStr">
        <is>
          <t>据置時の粗利（自動）</t>
        </is>
      </c>
      <c r="M5" s="14" t="inlineStr">
        <is>
          <t>据置時の粗利率（自動）</t>
        </is>
      </c>
      <c r="N5" s="14" t="inlineStr">
        <is>
          <t>粗利額を保つ売価（自動）</t>
        </is>
      </c>
      <c r="O5" s="14" t="inlineStr">
        <is>
          <t>粗利率を保つ売価（自動）</t>
        </is>
      </c>
      <c r="P5" s="14" t="inlineStr">
        <is>
          <t>新売価案の粗利（自動）</t>
        </is>
      </c>
      <c r="Q5" s="14" t="inlineStr">
        <is>
          <t>新売価案の粗利率（自動）</t>
        </is>
      </c>
      <c r="R5" s="14" t="inlineStr">
        <is>
          <t>逆算の注意（自動）</t>
        </is>
      </c>
      <c r="S5" s="14" t="inlineStr">
        <is>
          <t>選択用の表示（自動）</t>
        </is>
      </c>
      <c r="T5" s="14" t="inlineStr">
        <is>
          <t>対応一覧での使用（自動）</t>
        </is>
      </c>
    </row>
    <row r="6" ht="22" customHeight="1">
      <c r="A6" s="15" t="inlineStr">
        <is>
          <t>A-001</t>
        </is>
      </c>
      <c r="B6" s="16" t="inlineStr">
        <is>
          <t>ステンレス継手 20A</t>
        </is>
      </c>
      <c r="C6" s="16" t="inlineStr">
        <is>
          <t>標準</t>
        </is>
      </c>
      <c r="D6" s="17" t="n">
        <v>1200</v>
      </c>
      <c r="E6" s="17" t="n">
        <v>1320</v>
      </c>
      <c r="F6" s="17" t="n">
        <v>1800</v>
      </c>
      <c r="G6" s="17" t="n">
        <v>1980</v>
      </c>
      <c r="H6" s="18" t="n">
        <v>46357</v>
      </c>
      <c r="I6" s="19" t="str">
        <f>IF(AND(T_例_価格条件[[#This Row],[条件ID]]="",T_例_価格条件[[#This Row],[商品名・品番]]="",T_例_価格条件[[#This Row],[改定前原価]]="",T_例_価格条件[[#This Row],[改定後原価]]="",T_例_価格条件[[#This Row],[現在売価]]="",T_例_価格条件[[#This Row],[新売価案]]=""),"",IF(T_例_価格条件[[#This Row],[条件ID]]="","要確認：条件IDを入力",IF(SUMPRODUCT(--(T_例_価格条件[条件ID]=T_例_価格条件[[#This Row],[条件ID]]))&gt;1,"要確認：条件IDが重複",IF(ISNUMBER(FIND("｜",T_例_価格条件[[#This Row],[条件ID]])),"要確認：条件IDに「｜」は使えません",IF(TRIM(T_例_価格条件[[#This Row],[条件ID]])&lt;&gt;T_例_価格条件[[#This Row],[条件ID]],"要確認：条件IDの前後に空白があります",IF(T_例_価格条件[[#This Row],[改定前原価]]="","未入力：改定前原価",IF(NOT(ISNUMBER(T_例_価格条件[[#This Row],[改定前原価]])),"要確認：改定前原価が数値でない",IF(T_例_価格条件[[#This Row],[改定前原価]]&lt;0,"要確認：改定前原価がマイナス",IF(ROUND(T_例_価格条件[[#This Row],[改定前原価]],2)&lt;&gt;T_例_価格条件[[#This Row],[改定前原価]],"要確認：改定前原価は小数第2位まで",IF(T_例_価格条件[[#This Row],[改定後原価]]="","未入力：改定後原価",IF(NOT(ISNUMBER(T_例_価格条件[[#This Row],[改定後原価]])),"要確認：改定後原価が数値でない",IF(T_例_価格条件[[#This Row],[改定後原価]]&lt;0,"要確認：改定後原価がマイナス",IF(ROUND(T_例_価格条件[[#This Row],[改定後原価]],2)&lt;&gt;T_例_価格条件[[#This Row],[改定後原価]],"要確認：改定後原価は小数第2位まで",IF(T_例_価格条件[[#This Row],[現在売価]]="","未入力：現在売価",IF(NOT(ISNUMBER(T_例_価格条件[[#This Row],[現在売価]])),"要確認：現在売価が数値でない",IF(T_例_価格条件[[#This Row],[現在売価]]&lt;0,"要確認：現在売価がマイナス",IF(ROUND(T_例_価格条件[[#This Row],[現在売価]],2)&lt;&gt;T_例_価格条件[[#This Row],[現在売価]],"要確認：現在売価は小数第2位まで",IF(AND(T_例_価格条件[[#This Row],[新売価案]]&lt;&gt;"",NOT(ISNUMBER(T_例_価格条件[[#This Row],[新売価案]]))),"要確認：新売価案が数値でない",IF(AND(ISNUMBER(T_例_価格条件[[#This Row],[新売価案]]),T_例_価格条件[[#This Row],[新売価案]]&lt;0),"要確認：新売価案がマイナス",IF(AND(ISNUMBER(T_例_価格条件[[#This Row],[新売価案]]),ROUND(T_例_価格条件[[#This Row],[新売価案]],2)&lt;&gt;T_例_価格条件[[#This Row],[新売価案]]),"要確認：新売価案は小数第2位まで","OK"))))))))))))))))))))</f>
        <v>OK</v>
      </c>
      <c r="J6" s="20">
        <f>IF(T_例_価格条件[[#This Row],[入力状態（自動）]]&lt;&gt;"OK","",T_例_価格条件[[#This Row],[現在売価]]-T_例_価格条件[[#This Row],[改定前原価]])</f>
        <v>600</v>
      </c>
      <c r="K6" s="21">
        <f>IF(T_例_価格条件[[#This Row],[入力状態（自動）]]&lt;&gt;"OK","",IF(T_例_価格条件[[#This Row],[現在売価]]=0,"売価0円",(T_例_価格条件[[#This Row],[現在売価]]-T_例_価格条件[[#This Row],[改定前原価]])/T_例_価格条件[[#This Row],[現在売価]]))</f>
        <v>0.333333333333333</v>
      </c>
      <c r="L6" s="20">
        <f>IF(T_例_価格条件[[#This Row],[入力状態（自動）]]&lt;&gt;"OK","",T_例_価格条件[[#This Row],[現在売価]]-T_例_価格条件[[#This Row],[改定後原価]])</f>
        <v>480</v>
      </c>
      <c r="M6" s="21">
        <f>IF(T_例_価格条件[[#This Row],[入力状態（自動）]]&lt;&gt;"OK","",IF(T_例_価格条件[[#This Row],[現在売価]]=0,"売価0円",(T_例_価格条件[[#This Row],[現在売価]]-T_例_価格条件[[#This Row],[改定後原価]])/T_例_価格条件[[#This Row],[現在売価]]))</f>
        <v>0.266666666666667</v>
      </c>
      <c r="N6" s="22">
        <f>IF(T_例_価格条件[[#This Row],[入力状態（自動）]]&lt;&gt;"OK","",IF((T_例_価格条件[[#This Row],[改定後原価]]+T_例_価格条件[[#This Row],[現在売価]]-T_例_価格条件[[#This Row],[改定前原価]])&lt;=0,"0円以下",ROUND(ROUNDUP(ROUND(ROUND((T_例_価格条件[[#This Row],[改定後原価]]+T_例_価格条件[[#This Row],[現在売価]]-T_例_価格条件[[#This Row],[改定前原価]]),4)/例_切り上げ単位,6),0)*例_切り上げ単位,2)))</f>
        <v>1920</v>
      </c>
      <c r="O6" s="22">
        <f>IF(T_例_価格条件[[#This Row],[入力状態（自動）]]&lt;&gt;"OK","",IF(T_例_価格条件[[#This Row],[現在売価]]=0,"計算不可",IF(T_例_価格条件[[#This Row],[改定前原価]]=0,IF(T_例_価格条件[[#This Row],[改定後原価]]=0,"原価0円","保てない"),IF(T_例_価格条件[[#This Row],[改定後原価]]=0,"原価0円",ROUND(ROUNDUP(ROUND(ROUND(T_例_価格条件[[#This Row],[改定後原価]]*T_例_価格条件[[#This Row],[現在売価]]/T_例_価格条件[[#This Row],[改定前原価]],4)/例_切り上げ単位,6),0)*例_切り上げ単位,2)))))</f>
        <v>1980</v>
      </c>
      <c r="P6" s="20">
        <f>IF(OR(T_例_価格条件[[#This Row],[入力状態（自動）]]&lt;&gt;"OK",NOT(ISNUMBER(T_例_価格条件[[#This Row],[新売価案]]))),"",T_例_価格条件[[#This Row],[新売価案]]-T_例_価格条件[[#This Row],[改定後原価]])</f>
        <v>660</v>
      </c>
      <c r="Q6" s="21">
        <f>IF(OR(T_例_価格条件[[#This Row],[入力状態（自動）]]&lt;&gt;"OK",NOT(ISNUMBER(T_例_価格条件[[#This Row],[新売価案]]))),"",IF(T_例_価格条件[[#This Row],[新売価案]]=0,"売価0円",(T_例_価格条件[[#This Row],[新売価案]]-T_例_価格条件[[#This Row],[改定後原価]])/T_例_価格条件[[#This Row],[新売価案]]))</f>
        <v>0.333333333333333</v>
      </c>
      <c r="R6" s="23" t="str">
        <f>IF(T_例_価格条件[[#This Row],[入力状態（自動）]]&lt;&gt;"OK","",IF((T_例_価格条件[[#This Row],[改定後原価]]+T_例_価格条件[[#This Row],[現在売価]]-T_例_価格条件[[#This Row],[改定前原価]])&lt;=0,"粗利額維持：理論値が"&amp;IF((T_例_価格条件[[#This Row],[改定後原価]]+T_例_価格条件[[#This Row],[現在売価]]-T_例_価格条件[[#This Row],[改定前原価]])&lt;0,"▲","")&amp;IF(MOD(ABS((T_例_価格条件[[#This Row],[改定後原価]]+T_例_価格条件[[#This Row],[現在売価]]-T_例_価格条件[[#This Row],[改定前原価]])),1)=0,TEXT(ABS((T_例_価格条件[[#This Row],[改定後原価]]+T_例_価格条件[[#This Row],[現在売価]]-T_例_価格条件[[#This Row],[改定前原価]])),"#,##0"),TEXT(ABS((T_例_価格条件[[#This Row],[改定後原価]]+T_例_価格条件[[#This Row],[現在売価]]-T_例_価格条件[[#This Row],[改定前原価]])),"#,##0.00"))&amp;"円で、売価にできません（改定前の粗利が0円以下）。","")&amp;IF(T_例_価格条件[[#This Row],[現在売価]]&lt;T_例_価格条件[[#This Row],[改定前原価]],"改定前から原価割れのため、表示している維持売価は赤字のままの参考値です。","")&amp;IF(T_例_価格条件[[#This Row],[現在売価]]=0,"粗利率維持：現在売価が0円のため、粗利率が計算できません。",IF(T_例_価格条件[[#This Row],[改定前原価]]=0,IF(T_例_価格条件[[#This Row],[改定後原価]]=0,"改定後も原価0円のため、正の売価なら粗利率は100%です。","粗利率維持：改定前の粗利率が100%のため、原価が上がると同じ率は保てません。"),IF(T_例_価格条件[[#This Row],[改定後原価]]=0,"改定後の原価0円のため、正の売価なら粗利率は100%です。",""))))</f>
        <v/>
      </c>
      <c r="S6" s="19" t="str">
        <f>IF(T_例_価格条件[[#This Row],[条件ID]]="","",T_例_価格条件[[#This Row],[条件ID]]&amp;"｜"&amp;T_例_価格条件[[#This Row],[商品名・品番]]&amp;IF(T_例_価格条件[[#This Row],[価格区分]]="","","（"&amp;T_例_価格条件[[#This Row],[価格区分]]&amp;"）"))</f>
        <v>A-001｜ステンレス継手 20A（標準）</v>
      </c>
      <c r="T6" s="24">
        <f>IF(T_例_価格条件[[#This Row],[条件ID]]="","",SUMPRODUCT(--(T_例_対応一覧[条件ID（自動）]=T_例_価格条件[[#This Row],[条件ID]])))</f>
        <v>3</v>
      </c>
    </row>
    <row r="7" ht="22" customHeight="1">
      <c r="A7" s="15" t="inlineStr">
        <is>
          <t>A-002</t>
        </is>
      </c>
      <c r="B7" s="16" t="inlineStr">
        <is>
          <t>ステンレス継手 20A</t>
        </is>
      </c>
      <c r="C7" s="16" t="inlineStr">
        <is>
          <t>Aランク契約</t>
        </is>
      </c>
      <c r="D7" s="17" t="n">
        <v>1200</v>
      </c>
      <c r="E7" s="17" t="n">
        <v>1320</v>
      </c>
      <c r="F7" s="17" t="n">
        <v>1650</v>
      </c>
      <c r="G7" s="17" t="n">
        <v>1800</v>
      </c>
      <c r="H7" s="18" t="n">
        <v>46357</v>
      </c>
      <c r="I7" s="19" t="str">
        <f>IF(AND(T_例_価格条件[[#This Row],[条件ID]]="",T_例_価格条件[[#This Row],[商品名・品番]]="",T_例_価格条件[[#This Row],[改定前原価]]="",T_例_価格条件[[#This Row],[改定後原価]]="",T_例_価格条件[[#This Row],[現在売価]]="",T_例_価格条件[[#This Row],[新売価案]]=""),"",IF(T_例_価格条件[[#This Row],[条件ID]]="","要確認：条件IDを入力",IF(SUMPRODUCT(--(T_例_価格条件[条件ID]=T_例_価格条件[[#This Row],[条件ID]]))&gt;1,"要確認：条件IDが重複",IF(ISNUMBER(FIND("｜",T_例_価格条件[[#This Row],[条件ID]])),"要確認：条件IDに「｜」は使えません",IF(TRIM(T_例_価格条件[[#This Row],[条件ID]])&lt;&gt;T_例_価格条件[[#This Row],[条件ID]],"要確認：条件IDの前後に空白があります",IF(T_例_価格条件[[#This Row],[改定前原価]]="","未入力：改定前原価",IF(NOT(ISNUMBER(T_例_価格条件[[#This Row],[改定前原価]])),"要確認：改定前原価が数値でない",IF(T_例_価格条件[[#This Row],[改定前原価]]&lt;0,"要確認：改定前原価がマイナス",IF(ROUND(T_例_価格条件[[#This Row],[改定前原価]],2)&lt;&gt;T_例_価格条件[[#This Row],[改定前原価]],"要確認：改定前原価は小数第2位まで",IF(T_例_価格条件[[#This Row],[改定後原価]]="","未入力：改定後原価",IF(NOT(ISNUMBER(T_例_価格条件[[#This Row],[改定後原価]])),"要確認：改定後原価が数値でない",IF(T_例_価格条件[[#This Row],[改定後原価]]&lt;0,"要確認：改定後原価がマイナス",IF(ROUND(T_例_価格条件[[#This Row],[改定後原価]],2)&lt;&gt;T_例_価格条件[[#This Row],[改定後原価]],"要確認：改定後原価は小数第2位まで",IF(T_例_価格条件[[#This Row],[現在売価]]="","未入力：現在売価",IF(NOT(ISNUMBER(T_例_価格条件[[#This Row],[現在売価]])),"要確認：現在売価が数値でない",IF(T_例_価格条件[[#This Row],[現在売価]]&lt;0,"要確認：現在売価がマイナス",IF(ROUND(T_例_価格条件[[#This Row],[現在売価]],2)&lt;&gt;T_例_価格条件[[#This Row],[現在売価]],"要確認：現在売価は小数第2位まで",IF(AND(T_例_価格条件[[#This Row],[新売価案]]&lt;&gt;"",NOT(ISNUMBER(T_例_価格条件[[#This Row],[新売価案]]))),"要確認：新売価案が数値でない",IF(AND(ISNUMBER(T_例_価格条件[[#This Row],[新売価案]]),T_例_価格条件[[#This Row],[新売価案]]&lt;0),"要確認：新売価案がマイナス",IF(AND(ISNUMBER(T_例_価格条件[[#This Row],[新売価案]]),ROUND(T_例_価格条件[[#This Row],[新売価案]],2)&lt;&gt;T_例_価格条件[[#This Row],[新売価案]]),"要確認：新売価案は小数第2位まで","OK"))))))))))))))))))))</f>
        <v>OK</v>
      </c>
      <c r="J7" s="20">
        <f>IF(T_例_価格条件[[#This Row],[入力状態（自動）]]&lt;&gt;"OK","",T_例_価格条件[[#This Row],[現在売価]]-T_例_価格条件[[#This Row],[改定前原価]])</f>
        <v>450</v>
      </c>
      <c r="K7" s="21">
        <f>IF(T_例_価格条件[[#This Row],[入力状態（自動）]]&lt;&gt;"OK","",IF(T_例_価格条件[[#This Row],[現在売価]]=0,"売価0円",(T_例_価格条件[[#This Row],[現在売価]]-T_例_価格条件[[#This Row],[改定前原価]])/T_例_価格条件[[#This Row],[現在売価]]))</f>
        <v>0.272727272727273</v>
      </c>
      <c r="L7" s="20">
        <f>IF(T_例_価格条件[[#This Row],[入力状態（自動）]]&lt;&gt;"OK","",T_例_価格条件[[#This Row],[現在売価]]-T_例_価格条件[[#This Row],[改定後原価]])</f>
        <v>330</v>
      </c>
      <c r="M7" s="21">
        <f>IF(T_例_価格条件[[#This Row],[入力状態（自動）]]&lt;&gt;"OK","",IF(T_例_価格条件[[#This Row],[現在売価]]=0,"売価0円",(T_例_価格条件[[#This Row],[現在売価]]-T_例_価格条件[[#This Row],[改定後原価]])/T_例_価格条件[[#This Row],[現在売価]]))</f>
        <v>0.2</v>
      </c>
      <c r="N7" s="22">
        <f>IF(T_例_価格条件[[#This Row],[入力状態（自動）]]&lt;&gt;"OK","",IF((T_例_価格条件[[#This Row],[改定後原価]]+T_例_価格条件[[#This Row],[現在売価]]-T_例_価格条件[[#This Row],[改定前原価]])&lt;=0,"0円以下",ROUND(ROUNDUP(ROUND(ROUND((T_例_価格条件[[#This Row],[改定後原価]]+T_例_価格条件[[#This Row],[現在売価]]-T_例_価格条件[[#This Row],[改定前原価]]),4)/例_切り上げ単位,6),0)*例_切り上げ単位,2)))</f>
        <v>1770</v>
      </c>
      <c r="O7" s="22">
        <f>IF(T_例_価格条件[[#This Row],[入力状態（自動）]]&lt;&gt;"OK","",IF(T_例_価格条件[[#This Row],[現在売価]]=0,"計算不可",IF(T_例_価格条件[[#This Row],[改定前原価]]=0,IF(T_例_価格条件[[#This Row],[改定後原価]]=0,"原価0円","保てない"),IF(T_例_価格条件[[#This Row],[改定後原価]]=0,"原価0円",ROUND(ROUNDUP(ROUND(ROUND(T_例_価格条件[[#This Row],[改定後原価]]*T_例_価格条件[[#This Row],[現在売価]]/T_例_価格条件[[#This Row],[改定前原価]],4)/例_切り上げ単位,6),0)*例_切り上げ単位,2)))))</f>
        <v>1815</v>
      </c>
      <c r="P7" s="20">
        <f>IF(OR(T_例_価格条件[[#This Row],[入力状態（自動）]]&lt;&gt;"OK",NOT(ISNUMBER(T_例_価格条件[[#This Row],[新売価案]]))),"",T_例_価格条件[[#This Row],[新売価案]]-T_例_価格条件[[#This Row],[改定後原価]])</f>
        <v>480</v>
      </c>
      <c r="Q7" s="21">
        <f>IF(OR(T_例_価格条件[[#This Row],[入力状態（自動）]]&lt;&gt;"OK",NOT(ISNUMBER(T_例_価格条件[[#This Row],[新売価案]]))),"",IF(T_例_価格条件[[#This Row],[新売価案]]=0,"売価0円",(T_例_価格条件[[#This Row],[新売価案]]-T_例_価格条件[[#This Row],[改定後原価]])/T_例_価格条件[[#This Row],[新売価案]]))</f>
        <v>0.266666666666667</v>
      </c>
      <c r="R7" s="23" t="str">
        <f>IF(T_例_価格条件[[#This Row],[入力状態（自動）]]&lt;&gt;"OK","",IF((T_例_価格条件[[#This Row],[改定後原価]]+T_例_価格条件[[#This Row],[現在売価]]-T_例_価格条件[[#This Row],[改定前原価]])&lt;=0,"粗利額維持：理論値が"&amp;IF((T_例_価格条件[[#This Row],[改定後原価]]+T_例_価格条件[[#This Row],[現在売価]]-T_例_価格条件[[#This Row],[改定前原価]])&lt;0,"▲","")&amp;IF(MOD(ABS((T_例_価格条件[[#This Row],[改定後原価]]+T_例_価格条件[[#This Row],[現在売価]]-T_例_価格条件[[#This Row],[改定前原価]])),1)=0,TEXT(ABS((T_例_価格条件[[#This Row],[改定後原価]]+T_例_価格条件[[#This Row],[現在売価]]-T_例_価格条件[[#This Row],[改定前原価]])),"#,##0"),TEXT(ABS((T_例_価格条件[[#This Row],[改定後原価]]+T_例_価格条件[[#This Row],[現在売価]]-T_例_価格条件[[#This Row],[改定前原価]])),"#,##0.00"))&amp;"円で、売価にできません（改定前の粗利が0円以下）。","")&amp;IF(T_例_価格条件[[#This Row],[現在売価]]&lt;T_例_価格条件[[#This Row],[改定前原価]],"改定前から原価割れのため、表示している維持売価は赤字のままの参考値です。","")&amp;IF(T_例_価格条件[[#This Row],[現在売価]]=0,"粗利率維持：現在売価が0円のため、粗利率が計算できません。",IF(T_例_価格条件[[#This Row],[改定前原価]]=0,IF(T_例_価格条件[[#This Row],[改定後原価]]=0,"改定後も原価0円のため、正の売価なら粗利率は100%です。","粗利率維持：改定前の粗利率が100%のため、原価が上がると同じ率は保てません。"),IF(T_例_価格条件[[#This Row],[改定後原価]]=0,"改定後の原価0円のため、正の売価なら粗利率は100%です。",""))))</f>
        <v/>
      </c>
      <c r="S7" s="19" t="str">
        <f>IF(T_例_価格条件[[#This Row],[条件ID]]="","",T_例_価格条件[[#This Row],[条件ID]]&amp;"｜"&amp;T_例_価格条件[[#This Row],[商品名・品番]]&amp;IF(T_例_価格条件[[#This Row],[価格区分]]="","","（"&amp;T_例_価格条件[[#This Row],[価格区分]]&amp;"）"))</f>
        <v>A-002｜ステンレス継手 20A（Aランク契約）</v>
      </c>
      <c r="T7" s="24">
        <f>IF(T_例_価格条件[[#This Row],[条件ID]]="","",SUMPRODUCT(--(T_例_対応一覧[条件ID（自動）]=T_例_価格条件[[#This Row],[条件ID]])))</f>
        <v>1</v>
      </c>
    </row>
    <row r="8" ht="22" customHeight="1">
      <c r="A8" s="15" t="inlineStr">
        <is>
          <t>A-003</t>
        </is>
      </c>
      <c r="B8" s="16" t="inlineStr">
        <is>
          <t>塩ビ配管 VP50 4m</t>
        </is>
      </c>
      <c r="C8" s="16" t="inlineStr">
        <is>
          <t>標準</t>
        </is>
      </c>
      <c r="D8" s="17" t="n">
        <v>2400</v>
      </c>
      <c r="E8" s="17" t="n">
        <v>2640</v>
      </c>
      <c r="F8" s="17" t="n">
        <v>3300</v>
      </c>
      <c r="G8" s="17" t="n"/>
      <c r="H8" s="18" t="n">
        <v>46357</v>
      </c>
      <c r="I8" s="19" t="str">
        <f>IF(AND(T_例_価格条件[[#This Row],[条件ID]]="",T_例_価格条件[[#This Row],[商品名・品番]]="",T_例_価格条件[[#This Row],[改定前原価]]="",T_例_価格条件[[#This Row],[改定後原価]]="",T_例_価格条件[[#This Row],[現在売価]]="",T_例_価格条件[[#This Row],[新売価案]]=""),"",IF(T_例_価格条件[[#This Row],[条件ID]]="","要確認：条件IDを入力",IF(SUMPRODUCT(--(T_例_価格条件[条件ID]=T_例_価格条件[[#This Row],[条件ID]]))&gt;1,"要確認：条件IDが重複",IF(ISNUMBER(FIND("｜",T_例_価格条件[[#This Row],[条件ID]])),"要確認：条件IDに「｜」は使えません",IF(TRIM(T_例_価格条件[[#This Row],[条件ID]])&lt;&gt;T_例_価格条件[[#This Row],[条件ID]],"要確認：条件IDの前後に空白があります",IF(T_例_価格条件[[#This Row],[改定前原価]]="","未入力：改定前原価",IF(NOT(ISNUMBER(T_例_価格条件[[#This Row],[改定前原価]])),"要確認：改定前原価が数値でない",IF(T_例_価格条件[[#This Row],[改定前原価]]&lt;0,"要確認：改定前原価がマイナス",IF(ROUND(T_例_価格条件[[#This Row],[改定前原価]],2)&lt;&gt;T_例_価格条件[[#This Row],[改定前原価]],"要確認：改定前原価は小数第2位まで",IF(T_例_価格条件[[#This Row],[改定後原価]]="","未入力：改定後原価",IF(NOT(ISNUMBER(T_例_価格条件[[#This Row],[改定後原価]])),"要確認：改定後原価が数値でない",IF(T_例_価格条件[[#This Row],[改定後原価]]&lt;0,"要確認：改定後原価がマイナス",IF(ROUND(T_例_価格条件[[#This Row],[改定後原価]],2)&lt;&gt;T_例_価格条件[[#This Row],[改定後原価]],"要確認：改定後原価は小数第2位まで",IF(T_例_価格条件[[#This Row],[現在売価]]="","未入力：現在売価",IF(NOT(ISNUMBER(T_例_価格条件[[#This Row],[現在売価]])),"要確認：現在売価が数値でない",IF(T_例_価格条件[[#This Row],[現在売価]]&lt;0,"要確認：現在売価がマイナス",IF(ROUND(T_例_価格条件[[#This Row],[現在売価]],2)&lt;&gt;T_例_価格条件[[#This Row],[現在売価]],"要確認：現在売価は小数第2位まで",IF(AND(T_例_価格条件[[#This Row],[新売価案]]&lt;&gt;"",NOT(ISNUMBER(T_例_価格条件[[#This Row],[新売価案]]))),"要確認：新売価案が数値でない",IF(AND(ISNUMBER(T_例_価格条件[[#This Row],[新売価案]]),T_例_価格条件[[#This Row],[新売価案]]&lt;0),"要確認：新売価案がマイナス",IF(AND(ISNUMBER(T_例_価格条件[[#This Row],[新売価案]]),ROUND(T_例_価格条件[[#This Row],[新売価案]],2)&lt;&gt;T_例_価格条件[[#This Row],[新売価案]]),"要確認：新売価案は小数第2位まで","OK"))))))))))))))))))))</f>
        <v>OK</v>
      </c>
      <c r="J8" s="20">
        <f>IF(T_例_価格条件[[#This Row],[入力状態（自動）]]&lt;&gt;"OK","",T_例_価格条件[[#This Row],[現在売価]]-T_例_価格条件[[#This Row],[改定前原価]])</f>
        <v>900</v>
      </c>
      <c r="K8" s="21">
        <f>IF(T_例_価格条件[[#This Row],[入力状態（自動）]]&lt;&gt;"OK","",IF(T_例_価格条件[[#This Row],[現在売価]]=0,"売価0円",(T_例_価格条件[[#This Row],[現在売価]]-T_例_価格条件[[#This Row],[改定前原価]])/T_例_価格条件[[#This Row],[現在売価]]))</f>
        <v>0.272727272727273</v>
      </c>
      <c r="L8" s="20">
        <f>IF(T_例_価格条件[[#This Row],[入力状態（自動）]]&lt;&gt;"OK","",T_例_価格条件[[#This Row],[現在売価]]-T_例_価格条件[[#This Row],[改定後原価]])</f>
        <v>660</v>
      </c>
      <c r="M8" s="21">
        <f>IF(T_例_価格条件[[#This Row],[入力状態（自動）]]&lt;&gt;"OK","",IF(T_例_価格条件[[#This Row],[現在売価]]=0,"売価0円",(T_例_価格条件[[#This Row],[現在売価]]-T_例_価格条件[[#This Row],[改定後原価]])/T_例_価格条件[[#This Row],[現在売価]]))</f>
        <v>0.2</v>
      </c>
      <c r="N8" s="22">
        <f>IF(T_例_価格条件[[#This Row],[入力状態（自動）]]&lt;&gt;"OK","",IF((T_例_価格条件[[#This Row],[改定後原価]]+T_例_価格条件[[#This Row],[現在売価]]-T_例_価格条件[[#This Row],[改定前原価]])&lt;=0,"0円以下",ROUND(ROUNDUP(ROUND(ROUND((T_例_価格条件[[#This Row],[改定後原価]]+T_例_価格条件[[#This Row],[現在売価]]-T_例_価格条件[[#This Row],[改定前原価]]),4)/例_切り上げ単位,6),0)*例_切り上げ単位,2)))</f>
        <v>3540</v>
      </c>
      <c r="O8" s="22">
        <f>IF(T_例_価格条件[[#This Row],[入力状態（自動）]]&lt;&gt;"OK","",IF(T_例_価格条件[[#This Row],[現在売価]]=0,"計算不可",IF(T_例_価格条件[[#This Row],[改定前原価]]=0,IF(T_例_価格条件[[#This Row],[改定後原価]]=0,"原価0円","保てない"),IF(T_例_価格条件[[#This Row],[改定後原価]]=0,"原価0円",ROUND(ROUNDUP(ROUND(ROUND(T_例_価格条件[[#This Row],[改定後原価]]*T_例_価格条件[[#This Row],[現在売価]]/T_例_価格条件[[#This Row],[改定前原価]],4)/例_切り上げ単位,6),0)*例_切り上げ単位,2)))))</f>
        <v>3630</v>
      </c>
      <c r="P8" s="20" t="str">
        <f>IF(OR(T_例_価格条件[[#This Row],[入力状態（自動）]]&lt;&gt;"OK",NOT(ISNUMBER(T_例_価格条件[[#This Row],[新売価案]]))),"",T_例_価格条件[[#This Row],[新売価案]]-T_例_価格条件[[#This Row],[改定後原価]])</f>
        <v/>
      </c>
      <c r="Q8" s="21" t="str">
        <f>IF(OR(T_例_価格条件[[#This Row],[入力状態（自動）]]&lt;&gt;"OK",NOT(ISNUMBER(T_例_価格条件[[#This Row],[新売価案]]))),"",IF(T_例_価格条件[[#This Row],[新売価案]]=0,"売価0円",(T_例_価格条件[[#This Row],[新売価案]]-T_例_価格条件[[#This Row],[改定後原価]])/T_例_価格条件[[#This Row],[新売価案]]))</f>
        <v/>
      </c>
      <c r="R8" s="23" t="str">
        <f>IF(T_例_価格条件[[#This Row],[入力状態（自動）]]&lt;&gt;"OK","",IF((T_例_価格条件[[#This Row],[改定後原価]]+T_例_価格条件[[#This Row],[現在売価]]-T_例_価格条件[[#This Row],[改定前原価]])&lt;=0,"粗利額維持：理論値が"&amp;IF((T_例_価格条件[[#This Row],[改定後原価]]+T_例_価格条件[[#This Row],[現在売価]]-T_例_価格条件[[#This Row],[改定前原価]])&lt;0,"▲","")&amp;IF(MOD(ABS((T_例_価格条件[[#This Row],[改定後原価]]+T_例_価格条件[[#This Row],[現在売価]]-T_例_価格条件[[#This Row],[改定前原価]])),1)=0,TEXT(ABS((T_例_価格条件[[#This Row],[改定後原価]]+T_例_価格条件[[#This Row],[現在売価]]-T_例_価格条件[[#This Row],[改定前原価]])),"#,##0"),TEXT(ABS((T_例_価格条件[[#This Row],[改定後原価]]+T_例_価格条件[[#This Row],[現在売価]]-T_例_価格条件[[#This Row],[改定前原価]])),"#,##0.00"))&amp;"円で、売価にできません（改定前の粗利が0円以下）。","")&amp;IF(T_例_価格条件[[#This Row],[現在売価]]&lt;T_例_価格条件[[#This Row],[改定前原価]],"改定前から原価割れのため、表示している維持売価は赤字のままの参考値です。","")&amp;IF(T_例_価格条件[[#This Row],[現在売価]]=0,"粗利率維持：現在売価が0円のため、粗利率が計算できません。",IF(T_例_価格条件[[#This Row],[改定前原価]]=0,IF(T_例_価格条件[[#This Row],[改定後原価]]=0,"改定後も原価0円のため、正の売価なら粗利率は100%です。","粗利率維持：改定前の粗利率が100%のため、原価が上がると同じ率は保てません。"),IF(T_例_価格条件[[#This Row],[改定後原価]]=0,"改定後の原価0円のため、正の売価なら粗利率は100%です。",""))))</f>
        <v/>
      </c>
      <c r="S8" s="19" t="str">
        <f>IF(T_例_価格条件[[#This Row],[条件ID]]="","",T_例_価格条件[[#This Row],[条件ID]]&amp;"｜"&amp;T_例_価格条件[[#This Row],[商品名・品番]]&amp;IF(T_例_価格条件[[#This Row],[価格区分]]="","","（"&amp;T_例_価格条件[[#This Row],[価格区分]]&amp;"）"))</f>
        <v>A-003｜塩ビ配管 VP50 4m（標準）</v>
      </c>
      <c r="T8" s="24">
        <f>IF(T_例_価格条件[[#This Row],[条件ID]]="","",SUMPRODUCT(--(T_例_対応一覧[条件ID（自動）]=T_例_価格条件[[#This Row],[条件ID]])))</f>
        <v>2</v>
      </c>
    </row>
    <row r="9" ht="22" customHeight="1">
      <c r="A9" s="15" t="inlineStr">
        <is>
          <t>A-004</t>
        </is>
      </c>
      <c r="B9" s="16" t="inlineStr">
        <is>
          <t>ポンプ用メカニカルシール</t>
        </is>
      </c>
      <c r="C9" s="16" t="inlineStr">
        <is>
          <t>標準</t>
        </is>
      </c>
      <c r="D9" s="17" t="n">
        <v>18000</v>
      </c>
      <c r="E9" s="17" t="n">
        <v>19800</v>
      </c>
      <c r="F9" s="17" t="n">
        <v>26000</v>
      </c>
      <c r="G9" s="17" t="n">
        <v>28600</v>
      </c>
      <c r="H9" s="18" t="n">
        <v>46388</v>
      </c>
      <c r="I9" s="19" t="str">
        <f>IF(AND(T_例_価格条件[[#This Row],[条件ID]]="",T_例_価格条件[[#This Row],[商品名・品番]]="",T_例_価格条件[[#This Row],[改定前原価]]="",T_例_価格条件[[#This Row],[改定後原価]]="",T_例_価格条件[[#This Row],[現在売価]]="",T_例_価格条件[[#This Row],[新売価案]]=""),"",IF(T_例_価格条件[[#This Row],[条件ID]]="","要確認：条件IDを入力",IF(SUMPRODUCT(--(T_例_価格条件[条件ID]=T_例_価格条件[[#This Row],[条件ID]]))&gt;1,"要確認：条件IDが重複",IF(ISNUMBER(FIND("｜",T_例_価格条件[[#This Row],[条件ID]])),"要確認：条件IDに「｜」は使えません",IF(TRIM(T_例_価格条件[[#This Row],[条件ID]])&lt;&gt;T_例_価格条件[[#This Row],[条件ID]],"要確認：条件IDの前後に空白があります",IF(T_例_価格条件[[#This Row],[改定前原価]]="","未入力：改定前原価",IF(NOT(ISNUMBER(T_例_価格条件[[#This Row],[改定前原価]])),"要確認：改定前原価が数値でない",IF(T_例_価格条件[[#This Row],[改定前原価]]&lt;0,"要確認：改定前原価がマイナス",IF(ROUND(T_例_価格条件[[#This Row],[改定前原価]],2)&lt;&gt;T_例_価格条件[[#This Row],[改定前原価]],"要確認：改定前原価は小数第2位まで",IF(T_例_価格条件[[#This Row],[改定後原価]]="","未入力：改定後原価",IF(NOT(ISNUMBER(T_例_価格条件[[#This Row],[改定後原価]])),"要確認：改定後原価が数値でない",IF(T_例_価格条件[[#This Row],[改定後原価]]&lt;0,"要確認：改定後原価がマイナス",IF(ROUND(T_例_価格条件[[#This Row],[改定後原価]],2)&lt;&gt;T_例_価格条件[[#This Row],[改定後原価]],"要確認：改定後原価は小数第2位まで",IF(T_例_価格条件[[#This Row],[現在売価]]="","未入力：現在売価",IF(NOT(ISNUMBER(T_例_価格条件[[#This Row],[現在売価]])),"要確認：現在売価が数値でない",IF(T_例_価格条件[[#This Row],[現在売価]]&lt;0,"要確認：現在売価がマイナス",IF(ROUND(T_例_価格条件[[#This Row],[現在売価]],2)&lt;&gt;T_例_価格条件[[#This Row],[現在売価]],"要確認：現在売価は小数第2位まで",IF(AND(T_例_価格条件[[#This Row],[新売価案]]&lt;&gt;"",NOT(ISNUMBER(T_例_価格条件[[#This Row],[新売価案]]))),"要確認：新売価案が数値でない",IF(AND(ISNUMBER(T_例_価格条件[[#This Row],[新売価案]]),T_例_価格条件[[#This Row],[新売価案]]&lt;0),"要確認：新売価案がマイナス",IF(AND(ISNUMBER(T_例_価格条件[[#This Row],[新売価案]]),ROUND(T_例_価格条件[[#This Row],[新売価案]],2)&lt;&gt;T_例_価格条件[[#This Row],[新売価案]]),"要確認：新売価案は小数第2位まで","OK"))))))))))))))))))))</f>
        <v>OK</v>
      </c>
      <c r="J9" s="20">
        <f>IF(T_例_価格条件[[#This Row],[入力状態（自動）]]&lt;&gt;"OK","",T_例_価格条件[[#This Row],[現在売価]]-T_例_価格条件[[#This Row],[改定前原価]])</f>
        <v>8000</v>
      </c>
      <c r="K9" s="21">
        <f>IF(T_例_価格条件[[#This Row],[入力状態（自動）]]&lt;&gt;"OK","",IF(T_例_価格条件[[#This Row],[現在売価]]=0,"売価0円",(T_例_価格条件[[#This Row],[現在売価]]-T_例_価格条件[[#This Row],[改定前原価]])/T_例_価格条件[[#This Row],[現在売価]]))</f>
        <v>0.307692307692308</v>
      </c>
      <c r="L9" s="20">
        <f>IF(T_例_価格条件[[#This Row],[入力状態（自動）]]&lt;&gt;"OK","",T_例_価格条件[[#This Row],[現在売価]]-T_例_価格条件[[#This Row],[改定後原価]])</f>
        <v>6200</v>
      </c>
      <c r="M9" s="21">
        <f>IF(T_例_価格条件[[#This Row],[入力状態（自動）]]&lt;&gt;"OK","",IF(T_例_価格条件[[#This Row],[現在売価]]=0,"売価0円",(T_例_価格条件[[#This Row],[現在売価]]-T_例_価格条件[[#This Row],[改定後原価]])/T_例_価格条件[[#This Row],[現在売価]]))</f>
        <v>0.238461538461538</v>
      </c>
      <c r="N9" s="22">
        <f>IF(T_例_価格条件[[#This Row],[入力状態（自動）]]&lt;&gt;"OK","",IF((T_例_価格条件[[#This Row],[改定後原価]]+T_例_価格条件[[#This Row],[現在売価]]-T_例_価格条件[[#This Row],[改定前原価]])&lt;=0,"0円以下",ROUND(ROUNDUP(ROUND(ROUND((T_例_価格条件[[#This Row],[改定後原価]]+T_例_価格条件[[#This Row],[現在売価]]-T_例_価格条件[[#This Row],[改定前原価]]),4)/例_切り上げ単位,6),0)*例_切り上げ単位,2)))</f>
        <v>27800</v>
      </c>
      <c r="O9" s="22">
        <f>IF(T_例_価格条件[[#This Row],[入力状態（自動）]]&lt;&gt;"OK","",IF(T_例_価格条件[[#This Row],[現在売価]]=0,"計算不可",IF(T_例_価格条件[[#This Row],[改定前原価]]=0,IF(T_例_価格条件[[#This Row],[改定後原価]]=0,"原価0円","保てない"),IF(T_例_価格条件[[#This Row],[改定後原価]]=0,"原価0円",ROUND(ROUNDUP(ROUND(ROUND(T_例_価格条件[[#This Row],[改定後原価]]*T_例_価格条件[[#This Row],[現在売価]]/T_例_価格条件[[#This Row],[改定前原価]],4)/例_切り上げ単位,6),0)*例_切り上げ単位,2)))))</f>
        <v>28600</v>
      </c>
      <c r="P9" s="20">
        <f>IF(OR(T_例_価格条件[[#This Row],[入力状態（自動）]]&lt;&gt;"OK",NOT(ISNUMBER(T_例_価格条件[[#This Row],[新売価案]]))),"",T_例_価格条件[[#This Row],[新売価案]]-T_例_価格条件[[#This Row],[改定後原価]])</f>
        <v>8800</v>
      </c>
      <c r="Q9" s="21">
        <f>IF(OR(T_例_価格条件[[#This Row],[入力状態（自動）]]&lt;&gt;"OK",NOT(ISNUMBER(T_例_価格条件[[#This Row],[新売価案]]))),"",IF(T_例_価格条件[[#This Row],[新売価案]]=0,"売価0円",(T_例_価格条件[[#This Row],[新売価案]]-T_例_価格条件[[#This Row],[改定後原価]])/T_例_価格条件[[#This Row],[新売価案]]))</f>
        <v>0.307692307692308</v>
      </c>
      <c r="R9" s="23" t="str">
        <f>IF(T_例_価格条件[[#This Row],[入力状態（自動）]]&lt;&gt;"OK","",IF((T_例_価格条件[[#This Row],[改定後原価]]+T_例_価格条件[[#This Row],[現在売価]]-T_例_価格条件[[#This Row],[改定前原価]])&lt;=0,"粗利額維持：理論値が"&amp;IF((T_例_価格条件[[#This Row],[改定後原価]]+T_例_価格条件[[#This Row],[現在売価]]-T_例_価格条件[[#This Row],[改定前原価]])&lt;0,"▲","")&amp;IF(MOD(ABS((T_例_価格条件[[#This Row],[改定後原価]]+T_例_価格条件[[#This Row],[現在売価]]-T_例_価格条件[[#This Row],[改定前原価]])),1)=0,TEXT(ABS((T_例_価格条件[[#This Row],[改定後原価]]+T_例_価格条件[[#This Row],[現在売価]]-T_例_価格条件[[#This Row],[改定前原価]])),"#,##0"),TEXT(ABS((T_例_価格条件[[#This Row],[改定後原価]]+T_例_価格条件[[#This Row],[現在売価]]-T_例_価格条件[[#This Row],[改定前原価]])),"#,##0.00"))&amp;"円で、売価にできません（改定前の粗利が0円以下）。","")&amp;IF(T_例_価格条件[[#This Row],[現在売価]]&lt;T_例_価格条件[[#This Row],[改定前原価]],"改定前から原価割れのため、表示している維持売価は赤字のままの参考値です。","")&amp;IF(T_例_価格条件[[#This Row],[現在売価]]=0,"粗利率維持：現在売価が0円のため、粗利率が計算できません。",IF(T_例_価格条件[[#This Row],[改定前原価]]=0,IF(T_例_価格条件[[#This Row],[改定後原価]]=0,"改定後も原価0円のため、正の売価なら粗利率は100%です。","粗利率維持：改定前の粗利率が100%のため、原価が上がると同じ率は保てません。"),IF(T_例_価格条件[[#This Row],[改定後原価]]=0,"改定後の原価0円のため、正の売価なら粗利率は100%です。",""))))</f>
        <v/>
      </c>
      <c r="S9" s="19" t="str">
        <f>IF(T_例_価格条件[[#This Row],[条件ID]]="","",T_例_価格条件[[#This Row],[条件ID]]&amp;"｜"&amp;T_例_価格条件[[#This Row],[商品名・品番]]&amp;IF(T_例_価格条件[[#This Row],[価格区分]]="","","（"&amp;T_例_価格条件[[#This Row],[価格区分]]&amp;"）"))</f>
        <v>A-004｜ポンプ用メカニカルシール（標準）</v>
      </c>
      <c r="T9" s="24">
        <f>IF(T_例_価格条件[[#This Row],[条件ID]]="","",SUMPRODUCT(--(T_例_対応一覧[条件ID（自動）]=T_例_価格条件[[#This Row],[条件ID]])))</f>
        <v>1</v>
      </c>
    </row>
  </sheetData>
  <conditionalFormatting sqref="D6:D9">
    <cfRule type="expression" priority="1" dxfId="0">
      <formula>AND(ISNUMBER(D6),MOD(ABS(D6),1)&gt;0)</formula>
    </cfRule>
  </conditionalFormatting>
  <conditionalFormatting sqref="E6:E9">
    <cfRule type="expression" priority="2" dxfId="0">
      <formula>AND(ISNUMBER(E6),MOD(ABS(E6),1)&gt;0)</formula>
    </cfRule>
  </conditionalFormatting>
  <conditionalFormatting sqref="F6:F9">
    <cfRule type="expression" priority="3" dxfId="0">
      <formula>AND(ISNUMBER(F6),MOD(ABS(F6),1)&gt;0)</formula>
    </cfRule>
  </conditionalFormatting>
  <conditionalFormatting sqref="G6:G9">
    <cfRule type="expression" priority="4" dxfId="0">
      <formula>AND(ISNUMBER(G6),MOD(ABS(G6),1)&gt;0)</formula>
    </cfRule>
  </conditionalFormatting>
  <conditionalFormatting sqref="J6:J9">
    <cfRule type="expression" priority="5" dxfId="0">
      <formula>AND(ISNUMBER(J6),MOD(ABS(J6),1)&gt;0)</formula>
    </cfRule>
  </conditionalFormatting>
  <conditionalFormatting sqref="L6:L9">
    <cfRule type="expression" priority="6" dxfId="0">
      <formula>AND(ISNUMBER(L6),MOD(ABS(L6),1)&gt;0)</formula>
    </cfRule>
  </conditionalFormatting>
  <conditionalFormatting sqref="N6:N9">
    <cfRule type="expression" priority="7" dxfId="0">
      <formula>AND(ISNUMBER(N6),MOD(ABS(N6),1)&gt;0)</formula>
    </cfRule>
  </conditionalFormatting>
  <conditionalFormatting sqref="O6:O9">
    <cfRule type="expression" priority="8" dxfId="0">
      <formula>AND(ISNUMBER(O6),MOD(ABS(O6),1)&gt;0)</formula>
    </cfRule>
  </conditionalFormatting>
  <conditionalFormatting sqref="P6:P9">
    <cfRule type="expression" priority="9" dxfId="0">
      <formula>AND(ISNUMBER(P6),MOD(ABS(P6),1)&gt;0)</formula>
    </cfRule>
  </conditionalFormatting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S14"/>
  <sheetViews>
    <sheetView showGridLines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1" customWidth="1" min="4" max="4"/>
    <col width="12" customWidth="1" min="5" max="5"/>
    <col width="30" customWidth="1" min="6" max="6"/>
    <col width="30" customWidth="1" min="7" max="7"/>
    <col width="12" customWidth="1" min="8" max="8"/>
    <col width="10" customWidth="1" min="9" max="9"/>
    <col width="12" customWidth="1" min="10" max="10"/>
    <col width="10" customWidth="1" min="11" max="11"/>
    <col width="24" customWidth="1" min="12" max="12"/>
    <col width="13" customWidth="1" min="13" max="13"/>
    <col width="13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</cols>
  <sheetData>
    <row r="1" ht="30" customHeight="1">
      <c r="A1" s="12" t="inlineStr">
        <is>
          <t>記入例：対応一覧（架空のデータ）</t>
        </is>
      </c>
    </row>
    <row r="2" ht="20" customHeight="1">
      <c r="A2" s="2" t="inlineStr">
        <is>
          <t>会社名・商品・金額はすべて架空です。実際の入力は「価格条件」「対応一覧」へ。ここは書き方の見本で、実際の集計には含まれません。</t>
        </is>
      </c>
    </row>
    <row r="3">
      <c r="A3" s="10" t="inlineStr">
        <is>
          <t>記入例の基準日</t>
        </is>
      </c>
      <c r="B3" s="45" t="n">
        <v>46336</v>
      </c>
      <c r="C3" s="2" t="inlineStr">
        <is>
          <t>記入例は日付を固定しています（実際のシートは今日の日付で判定）。</t>
        </is>
      </c>
    </row>
    <row r="4">
      <c r="A4" s="10" t="str">
        <f>"この記入例を集計すると：対応行 "&amp;SUMPRODUCT(--(((T_例_対応一覧[得意先]&lt;&gt;"")+(T_例_対応一覧[条件（一覧から選択）]&lt;&gt;""))&gt;0))&amp;"行（得意先 "&amp;SUMPRODUCT((T_例_対応一覧[得意先]&lt;&gt;"")*(T_例_対応一覧[提案状況]&lt;&gt;"対象外")/(COUNTIFS(T_例_対応一覧[得意先],"="&amp;SUBSTITUTE(SUBSTITUTE(SUBSTITUTE(T_例_対応一覧[得意先],"~","~~"),"*","~*"),"?","~?"),T_例_対応一覧[提案状況],"&lt;&gt;対象外")+(1-(T_例_対応一覧[得意先]&lt;&gt;"")*(T_例_対応一覧[提案状況]&lt;&gt;"対象外"))))&amp;"社）／次回対応日を過ぎた未完了 "&amp;COUNTIFS(T_例_対応一覧[対応区分（自動）],"未完了",T_例_対応一覧[次回対応日],"&lt;"&amp;例_基準日)&amp;"件／今日対応 "&amp;COUNTIFS(T_例_対応一覧[対応区分（自動）],"未完了",T_例_対応一覧[次回対応日],例_基準日)&amp;"件／合意後・売価が未反映 "&amp;SUMPRODUCT((((T_例_対応一覧[得意先]&lt;&gt;"")+(T_例_対応一覧[条件（一覧から選択）]&lt;&gt;""))&gt;0)*(T_例_対応一覧[提案状況]="合意")*(T_例_対応一覧[売価の反映]&lt;&gt;"反映済"))&amp;"件"</f>
        <v>この記入例を集計すると：対応行 7行（得意先 4社）／次回対応日を過ぎた未完了 1件／今日対応 1件／合意後・売価が未反映 1件</v>
      </c>
    </row>
    <row r="5">
      <c r="A5" s="10" t="str">
        <f>"売価を据え置いた場合の月間粗利（対象 "&amp;COUNTIF(T_例_対応一覧[試算の対象（自動）],"対象")&amp;"行）："&amp;TEXT(SUM(T_例_対応一覧[改定前の月間粗利（自動）]),"#,##0;""▲""#,##0")&amp;"円 → "&amp;TEXT(SUM(T_例_対応一覧[据置時の月間粗利（自動）]),"#,##0;""▲""#,##0")&amp;"円（差 "&amp;TEXT(SUM(T_例_対応一覧[据置時の月間粗利（自動）])-SUM(T_例_対応一覧[改定前の月間粗利（自動）]),"#,##0;""▲""#,##0")&amp;"円）。数量が未入力の1行は未計算、対象外の1行は除外。"</f>
        <v>売価を据え置いた場合の月間粗利（対象 5行）：609,000円 → 463,800円（差 ▲145,200円）。数量が未入力の1行は未計算、対象外の1行は除外。</v>
      </c>
    </row>
    <row r="7" ht="42" customHeight="1">
      <c r="A7" s="13" t="inlineStr">
        <is>
          <t>得意先</t>
        </is>
      </c>
      <c r="B7" s="13" t="inlineStr">
        <is>
          <t>条件（一覧から選択）</t>
        </is>
      </c>
      <c r="C7" s="13" t="inlineStr">
        <is>
          <t>担当者</t>
        </is>
      </c>
      <c r="D7" s="13" t="inlineStr">
        <is>
          <t>提案状況</t>
        </is>
      </c>
      <c r="E7" s="13" t="inlineStr">
        <is>
          <t>次回対応日</t>
        </is>
      </c>
      <c r="F7" s="13" t="inlineStr">
        <is>
          <t>次にすること</t>
        </is>
      </c>
      <c r="G7" s="14" t="inlineStr">
        <is>
          <t>確認（自動）</t>
        </is>
      </c>
      <c r="H7" s="13" t="inlineStr">
        <is>
          <t>合意売価</t>
        </is>
      </c>
      <c r="I7" s="13" t="inlineStr">
        <is>
          <t>売価の反映</t>
        </is>
      </c>
      <c r="J7" s="13" t="inlineStr">
        <is>
          <t>適用予定日</t>
        </is>
      </c>
      <c r="K7" s="13" t="inlineStr">
        <is>
          <t>月間数量</t>
        </is>
      </c>
      <c r="L7" s="13" t="inlineStr">
        <is>
          <t>メモ</t>
        </is>
      </c>
      <c r="M7" s="14" t="inlineStr">
        <is>
          <t>対応区分（自動）</t>
        </is>
      </c>
      <c r="N7" s="14" t="inlineStr">
        <is>
          <t>条件ID（自動）</t>
        </is>
      </c>
      <c r="O7" s="14" t="inlineStr">
        <is>
          <t>試算の対象（自動）</t>
        </is>
      </c>
      <c r="P7" s="14" t="inlineStr">
        <is>
          <t>改定前の月間粗利（自動）</t>
        </is>
      </c>
      <c r="Q7" s="14" t="inlineStr">
        <is>
          <t>据置時の月間粗利（自動）</t>
        </is>
      </c>
      <c r="R7" s="14" t="inlineStr">
        <is>
          <t>新売価案の月間粗利（自動）</t>
        </is>
      </c>
      <c r="S7" s="14" t="inlineStr">
        <is>
          <t>合意売価の月間粗利（自動）</t>
        </is>
      </c>
    </row>
    <row r="8" ht="36" customHeight="1">
      <c r="A8" s="16" t="inlineStr">
        <is>
          <t>北山設備（架空）</t>
        </is>
      </c>
      <c r="B8" s="25" t="inlineStr">
        <is>
          <t>A-001｜ステンレス継手 20A（標準）</t>
        </is>
      </c>
      <c r="C8" s="16" t="inlineStr">
        <is>
          <t>佐藤</t>
        </is>
      </c>
      <c r="D8" s="26" t="inlineStr">
        <is>
          <t>合意</t>
        </is>
      </c>
      <c r="E8" s="18" t="n">
        <v>46351</v>
      </c>
      <c r="F8" s="27" t="inlineStr">
        <is>
          <t>12/1の請求から新単価になっているか確認</t>
        </is>
      </c>
      <c r="G8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反映済・12/1から適用</v>
      </c>
      <c r="H8" s="17" t="n">
        <v>1950</v>
      </c>
      <c r="I8" s="26" t="inlineStr">
        <is>
          <t>反映済</t>
        </is>
      </c>
      <c r="J8" s="18" t="n">
        <v>46357</v>
      </c>
      <c r="K8" s="17" t="n">
        <v>300</v>
      </c>
      <c r="L8" s="27" t="n"/>
      <c r="M8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適用待ち</v>
      </c>
      <c r="N8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A-001</v>
      </c>
      <c r="O8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対象</v>
      </c>
      <c r="P8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>180000</v>
      </c>
      <c r="Q8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144000</v>
      </c>
      <c r="R8" s="20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198000</v>
      </c>
      <c r="S8" s="20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>189000</v>
      </c>
    </row>
    <row r="9" ht="36" customHeight="1">
      <c r="A9" s="16" t="inlineStr">
        <is>
          <t>北山設備（架空）</t>
        </is>
      </c>
      <c r="B9" s="25" t="inlineStr">
        <is>
          <t>A-004｜ポンプ用メカニカルシール（標準）</t>
        </is>
      </c>
      <c r="C9" s="16" t="inlineStr">
        <is>
          <t>佐藤</t>
        </is>
      </c>
      <c r="D9" s="26" t="inlineStr">
        <is>
          <t>回答待ち</t>
        </is>
      </c>
      <c r="E9" s="18" t="n">
        <v>46332</v>
      </c>
      <c r="F9" s="27" t="inlineStr">
        <is>
          <t>購買の田中様へ回答の確認を電話</t>
        </is>
      </c>
      <c r="G9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期限超過：次回対応日</v>
      </c>
      <c r="H9" s="17" t="n"/>
      <c r="I9" s="26" t="n"/>
      <c r="J9" s="18" t="n"/>
      <c r="K9" s="17" t="n">
        <v>6</v>
      </c>
      <c r="L9" s="27" t="n"/>
      <c r="M9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未完了</v>
      </c>
      <c r="N9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A-004</v>
      </c>
      <c r="O9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対象</v>
      </c>
      <c r="P9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>48000</v>
      </c>
      <c r="Q9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37200</v>
      </c>
      <c r="R9" s="20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52800</v>
      </c>
      <c r="S9" s="20" t="str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</row>
    <row r="10" ht="36" customHeight="1">
      <c r="A10" s="16" t="inlineStr">
        <is>
          <t>南工業（架空）</t>
        </is>
      </c>
      <c r="B10" s="25" t="inlineStr">
        <is>
          <t>A-002｜ステンレス継手 20A（Aランク契約）</t>
        </is>
      </c>
      <c r="C10" s="16" t="inlineStr">
        <is>
          <t>高橋</t>
        </is>
      </c>
      <c r="D10" s="26" t="inlineStr">
        <is>
          <t>合意</t>
        </is>
      </c>
      <c r="E10" s="18" t="n">
        <v>46338</v>
      </c>
      <c r="F10" s="27" t="inlineStr">
        <is>
          <t>販売管理の単価を1,780円に変更</t>
        </is>
      </c>
      <c r="G10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合意後・売価が未反映</v>
      </c>
      <c r="H10" s="17" t="n">
        <v>1780</v>
      </c>
      <c r="I10" s="26" t="inlineStr">
        <is>
          <t>未反映</t>
        </is>
      </c>
      <c r="J10" s="18" t="n">
        <v>46357</v>
      </c>
      <c r="K10" s="17" t="n">
        <v>500</v>
      </c>
      <c r="L10" s="27" t="n"/>
      <c r="M10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未完了</v>
      </c>
      <c r="N10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A-002</v>
      </c>
      <c r="O10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対象</v>
      </c>
      <c r="P10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>225000</v>
      </c>
      <c r="Q10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165000</v>
      </c>
      <c r="R10" s="20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240000</v>
      </c>
      <c r="S10" s="20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>230000</v>
      </c>
    </row>
    <row r="11" ht="36" customHeight="1">
      <c r="A11" s="16" t="inlineStr">
        <is>
          <t>東和プラント（架空）</t>
        </is>
      </c>
      <c r="B11" s="25" t="inlineStr">
        <is>
          <t>A-003｜塩ビ配管 VP50 4m（標準）</t>
        </is>
      </c>
      <c r="C11" s="16" t="inlineStr">
        <is>
          <t>高橋</t>
        </is>
      </c>
      <c r="D11" s="26" t="inlineStr">
        <is>
          <t>案内済</t>
        </is>
      </c>
      <c r="E11" s="18" t="n">
        <v>46336</v>
      </c>
      <c r="F11" s="27" t="inlineStr">
        <is>
          <t>案内文が届いたか電話で確認</t>
        </is>
      </c>
      <c r="G11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今日対応</v>
      </c>
      <c r="H11" s="17" t="n"/>
      <c r="I11" s="26" t="n"/>
      <c r="J11" s="18" t="n"/>
      <c r="K11" s="17" t="n">
        <v>120</v>
      </c>
      <c r="L11" s="27" t="n"/>
      <c r="M11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未完了</v>
      </c>
      <c r="N11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A-003</v>
      </c>
      <c r="O11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対象</v>
      </c>
      <c r="P11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>108000</v>
      </c>
      <c r="Q11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79200</v>
      </c>
      <c r="R11" s="20" t="str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  <c r="S11" s="20" t="str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</row>
    <row r="12" ht="36" customHeight="1">
      <c r="A12" s="16" t="inlineStr">
        <is>
          <t>西川商会（架空）</t>
        </is>
      </c>
      <c r="B12" s="25" t="inlineStr">
        <is>
          <t>A-001｜ステンレス継手 20A（標準）</t>
        </is>
      </c>
      <c r="C12" s="16" t="inlineStr">
        <is>
          <t>佐藤</t>
        </is>
      </c>
      <c r="D12" s="26" t="inlineStr">
        <is>
          <t>未案内</t>
        </is>
      </c>
      <c r="E12" s="18" t="n">
        <v>46340</v>
      </c>
      <c r="F12" s="27" t="inlineStr">
        <is>
          <t>案内文と新単価表を送付</t>
        </is>
      </c>
      <c r="G12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対応中</v>
      </c>
      <c r="H12" s="17" t="n"/>
      <c r="I12" s="26" t="n"/>
      <c r="J12" s="18" t="n"/>
      <c r="K12" s="17" t="n"/>
      <c r="L12" s="27" t="inlineStr">
        <is>
          <t>数量は先月の実績を確認中</t>
        </is>
      </c>
      <c r="M12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未完了</v>
      </c>
      <c r="N12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A-001</v>
      </c>
      <c r="O12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未計算：数量なし</v>
      </c>
      <c r="P12" s="20" t="str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/>
      </c>
      <c r="Q12" s="20" t="str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  <c r="R12" s="20" t="str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  <c r="S12" s="20" t="str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</row>
    <row r="13" ht="36" customHeight="1">
      <c r="A13" s="16" t="inlineStr">
        <is>
          <t>東和プラント（架空）</t>
        </is>
      </c>
      <c r="B13" s="25" t="inlineStr">
        <is>
          <t>A-001｜ステンレス継手 20A（標準）</t>
        </is>
      </c>
      <c r="C13" s="16" t="inlineStr">
        <is>
          <t>高橋</t>
        </is>
      </c>
      <c r="D13" s="26" t="inlineStr">
        <is>
          <t>見送り</t>
        </is>
      </c>
      <c r="E13" s="18" t="n"/>
      <c r="F13" s="27" t="n"/>
      <c r="G13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見送り（交渉終了）</v>
      </c>
      <c r="H13" s="17" t="n"/>
      <c r="I13" s="26" t="n"/>
      <c r="J13" s="18" t="n"/>
      <c r="K13" s="17" t="n">
        <v>80</v>
      </c>
      <c r="L13" s="27" t="inlineStr">
        <is>
          <t>競合品へ切替の可能性あり。今回は据置</t>
        </is>
      </c>
      <c r="M13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見送り</v>
      </c>
      <c r="N13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A-001</v>
      </c>
      <c r="O13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対象</v>
      </c>
      <c r="P13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>48000</v>
      </c>
      <c r="Q13" s="20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38400</v>
      </c>
      <c r="R13" s="20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>52800</v>
      </c>
      <c r="S13" s="20" t="str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</row>
    <row r="14" ht="36" customHeight="1">
      <c r="A14" s="16" t="inlineStr">
        <is>
          <t>南工業（架空）</t>
        </is>
      </c>
      <c r="B14" s="25" t="inlineStr">
        <is>
          <t>A-003｜塩ビ配管 VP50 4m（標準）</t>
        </is>
      </c>
      <c r="C14" s="16" t="inlineStr">
        <is>
          <t>高橋</t>
        </is>
      </c>
      <c r="D14" s="26" t="inlineStr">
        <is>
          <t>対象外</t>
        </is>
      </c>
      <c r="E14" s="18" t="n"/>
      <c r="F14" s="27" t="n"/>
      <c r="G14" s="19" t="str">
        <f>IF(AND(T_例_対応一覧[[#This Row],[得意先]]="",T_例_対応一覧[[#This Row],[条件（一覧から選択）]]=""),"",IF(T_例_対応一覧[[#This Row],[得意先]]="","要確認：得意先を入力",IF(T_例_対応一覧[[#This Row],[条件（一覧から選択）]]="","要確認：条件を一覧から選択",IF(NOT(ISNUMBER(MATCH(SUBSTITUTE(SUBSTITUTE(SUBSTITUTE(T_例_対応一覧[[#This Row],[条件ID（自動）]],"~","~~"),"*","~*"),"?","~?"),T_例_価格条件[条件ID],0))),"要確認：条件が見つかりません（IDの変更・削除）",IF(INDEX(T_例_価格条件[入力状態（自動）],MATCH(SUBSTITUTE(SUBSTITUTE(SUBSTITUTE(T_例_対応一覧[[#This Row],[条件ID（自動）]],"~","~~"),"*","~*"),"?","~?"),T_例_価格条件[条件ID],0))&lt;&gt;"OK","要確認：価格条件の入力を確認",IF(AND(ISNUMBER(FIND("｜",T_例_対応一覧[[#This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Row],[条件ID（自動）]],"~","~~"),"*","~*"),"?","~?"),T_例_価格条件[条件ID],0))),"要確認：条件の内容が変わりました（選び直し）",IF(SUMPRODUCT((T_例_対応一覧[得意先]=T_例_対応一覧[[#This Row],[得意先]])*(T_例_対応一覧[条件ID（自動）]=T_例_対応一覧[[#This Row],[条件ID（自動）]]))&gt;1,"要確認：同じ得意先と条件が複数行",IF(IF(T_例_対応一覧[[#This Row],[提案状況]]="","未案内",T_例_対応一覧[[#This Row],[提案状況]])="対象外","対象外",IF(NOT(OR(T_例_対応一覧[[#This Row],[提案状況]]="",T_例_対応一覧[[#This Row],[提案状況]]="未案内",T_例_対応一覧[[#This Row],[提案状況]]="案内済",T_例_対応一覧[[#This Row],[提案状況]]="回答待ち",T_例_対応一覧[[#This Row],[提案状況]]="合意",T_例_対応一覧[[#This Row],[提案状況]]="見送り",T_例_対応一覧[[#This Row],[提案状況]]="対象外")),"要確認：提案状況を一覧から選択",IF(NOT(OR(T_例_対応一覧[[#This Row],[売価の反映]]="",T_例_対応一覧[[#This Row],[売価の反映]]="未反映",T_例_対応一覧[[#This Row],[売価の反映]]="反映済")),"要確認：売価の反映を一覧から選択",IF(AND(IF(T_例_対応一覧[[#This Row],[提案状況]]="","未案内",T_例_対応一覧[[#This Row],[提案状況]])="合意",NOT(ISNUMBER(T_例_対応一覧[[#This Row],[合意売価]]))),"要確認：合意売価を入力",IF(AND(ISNUMBER(T_例_対応一覧[[#This Row],[合意売価]]),T_例_対応一覧[[#This Row],[合意売価]]&lt;0),"要確認：合意売価がマイナス",IF(AND(T_例_対応一覧[[#This Row],[売価の反映]]="反映済",IF(T_例_対応一覧[[#This Row],[提案状況]]="","未案内",T_例_対応一覧[[#This Row],[提案状況]])&lt;&gt;"合意"),"要確認：反映済ですが提案状況が合意ではありません",IF(AND(T_例_対応一覧[[#This Row],[売価の反映]]="反映済",T_例_対応一覧[[#This Row],[適用予定日]]=""),"要確認：適用予定日を入力",IF(AND(T_例_対応一覧[[#This Row],[月間数量]]&lt;&gt;"",NOT(ISNUMBER(T_例_対応一覧[[#This Row],[月間数量]]))),"要確認：月間数量が数値でない",IF(AND(ISNUMBER(T_例_対応一覧[[#This Row],[月間数量]]),T_例_対応一覧[[#This Row],[月間数量]]&lt;0),"要確認：月間数量がマイナス",IF(OR(AND(T_例_対応一覧[[#This Row],[適用予定日]]&lt;&gt;"",NOT(ISNUMBER(T_例_対応一覧[[#This Row],[適用予定日]]))),AND(T_例_対応一覧[[#This Row],[次回対応日]]&lt;&gt;"",NOT(ISNUMBER(T_例_対応一覧[[#This Row],[次回対応日]])))),"要確認：日付は 2026/11/10 の形で入力",IF(IF(T_例_対応一覧[[#This Row],[提案状況]]="","未案内",T_例_対応一覧[[#This Row],[提案状況]])="見送り","見送り（交渉終了）",IF(AND(IF(T_例_対応一覧[[#This Row],[提案状況]]="","未案内",T_例_対応一覧[[#This Row],[提案状況]])="合意",T_例_対応一覧[[#This Row],[売価の反映]]="反映済"),IF(T_例_対応一覧[[#This Row],[適用予定日]]&gt;例_基準日,"反映済・"&amp;TEXT(T_例_対応一覧[[#This Row],[適用予定日]],"m/d")&amp;"から適用","完了"),IF(AND(ISNUMBER(T_例_対応一覧[[#This Row],[次回対応日]]),T_例_対応一覧[[#This Row],[次回対応日]]&lt;例_基準日),"期限超過：次回対応日",IF(AND(IF(T_例_対応一覧[[#This Row],[提案状況]]="","未案内",T_例_対応一覧[[#This Row],[提案状況]])="合意",ISNUMBER(T_例_対応一覧[[#This Row],[適用予定日]]),T_例_対応一覧[[#This Row],[適用予定日]]&lt;=例_基準日),"適用日到来：売価が未反映",IF(AND(ISNUMBER(T_例_対応一覧[[#This Row],[次回対応日]]),T_例_対応一覧[[#This Row],[次回対応日]]=例_基準日),"今日対応",IF(IF(T_例_対応一覧[[#This Row],[提案状況]]="","未案内",T_例_対応一覧[[#This Row],[提案状況]])="合意","合意後・売価が未反映",IF(T_例_対応一覧[[#This Row],[次回対応日]]="","次回対応日が未入力","対応中"))))))))))))))))))))))))</f>
        <v>対象外</v>
      </c>
      <c r="H14" s="17" t="n"/>
      <c r="I14" s="26" t="n"/>
      <c r="J14" s="18" t="n"/>
      <c r="K14" s="17" t="n"/>
      <c r="L14" s="27" t="inlineStr">
        <is>
          <t>年間契約で単価固定（2027年3月まで）</t>
        </is>
      </c>
      <c r="M14" s="28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Row],[提案状況]])="対象外","対象外",IF(LEFT(T_例_対応一覧[[#This Row],[確認（自動）]],3)="要確認","未完了",IF(IF(T_例_対応一覧[[#This Row],[提案状況]]="","未案内",T_例_対応一覧[[#This Row],[提案状況]])="見送り","見送り",IF(AND(IF(T_例_対応一覧[[#This Row],[提案状況]]="","未案内",T_例_対応一覧[[#This Row],[提案状況]])="合意",T_例_対応一覧[[#This Row],[売価の反映]]="反映済",ISNUMBER(T_例_対応一覧[[#This Row],[合意売価]]),ISNUMBER(T_例_対応一覧[[#This Row],[適用予定日]])),IF(T_例_対応一覧[[#This Row],[適用予定日]]&gt;例_基準日,"適用待ち","完了"),"未完了")))))</f>
        <v>対象外</v>
      </c>
      <c r="N14" s="28" t="str">
        <f>IF(TRIM(T_例_対応一覧[[#This Row],[条件（一覧から選択）]])="","",IF(ISNUMBER(FIND("｜",T_例_対応一覧[[#This Row],[条件（一覧から選択）]])),TRIM(LEFT(T_例_対応一覧[[#This Row],[条件（一覧から選択）]],FIND("｜",T_例_対応一覧[[#This Row],[条件（一覧から選択）]])-1)),TRIM(T_例_対応一覧[[#This Row],[条件（一覧から選択）]])))</f>
        <v>A-003</v>
      </c>
      <c r="O14" s="19" t="str">
        <f>IF(AND(T_例_対応一覧[[#This Row],[得意先]]="",T_例_対応一覧[[#This Row],[条件（一覧から選択）]]=""),"",IF(IF(T_例_対応一覧[[#This Row],[提案状況]]="","未案内",T_例_対応一覧[[#This Row],[提案状況]])="対象外","対象外",IF(T_例_対応一覧[[#This Row],[得意先]]="","未計算：得意先なし",IF(OR(T_例_対応一覧[[#This Row],[条件（一覧から選択）]]="",NOT(ISNUMBER(MATCH(SUBSTITUTE(SUBSTITUTE(SUBSTITUTE(T_例_対応一覧[[#This Row],[条件ID（自動）]],"~","~~"),"*","~*"),"?","~?"),T_例_価格条件[条件ID],0)))),"未計算：条件",IF(OR(INDEX(T_例_価格条件[入力状態（自動）],MATCH(SUBSTITUTE(SUBSTITUTE(SUBSTITUTE(T_例_対応一覧[[#This Row],[条件ID（自動）]],"~","~~"),"*","~*"),"?","~?"),T_例_価格条件[条件ID],0))&lt;&gt;"OK",AND(ISNUMBER(FIND("｜",T_例_対応一覧[[#This Row],[条件（一覧から選択）]])),T_例_対応一覧[[#This Row],[条件（一覧から選択）]]&lt;&gt;INDEX(T_例_価格条件[選択用の表示（自動）],MATCH(SUBSTITUTE(SUBSTITUTE(SUBSTITUTE(T_例_対応一覧[[#This Row],[条件ID（自動）]],"~","~~"),"*","~*"),"?","~?"),T_例_価格条件[条件ID],0)))),"未計算：条件",IF(SUMPRODUCT((T_例_対応一覧[得意先]=T_例_対応一覧[[#This Row],[得意先]])*(T_例_対応一覧[条件ID（自動）]=T_例_対応一覧[[#This Row],[条件ID（自動）]]))&gt;1,"未計算：重複",IF(T_例_対応一覧[[#This Row],[月間数量]]="","未計算：数量なし",IF(NOT(ISNUMBER(T_例_対応一覧[[#This Row],[月間数量]])),"未計算：数量が数値でない",IF(T_例_対応一覧[[#This Row],[月間数量]]&lt;0,"未計算：数量がマイナス","対象")))))))))</f>
        <v>対象外</v>
      </c>
      <c r="P14" s="20" t="str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Row],[条件ID（自動）]],"~","~~"),"*","~*"),"?","~?"),T_例_価格条件[条件ID],0))-INDEX(T_例_価格条件[改定前原価],MATCH(SUBSTITUTE(SUBSTITUTE(SUBSTITUTE(T_例_対応一覧[[#This Row],[条件ID（自動）]],"~","~~"),"*","~*"),"?","~?"),T_例_価格条件[条件ID],0)))*T_例_対応一覧[[#This Row],[月間数量]])</f>
        <v/>
      </c>
      <c r="Q14" s="20" t="str">
        <f>IF(T_例_対応一覧[[#This Row],[試算の対象（自動）]]&lt;&gt;"対象","",(INDEX(T_例_価格条件[現在売価],MATCH(SUBSTITUTE(SUBSTITUTE(SUBSTITUTE(T_例_対応一覧[[#This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  <c r="R14" s="20" t="str">
        <f>IF(OR(T_例_対応一覧[[#This Row],[試算の対象（自動）]]&lt;&gt;"対象",NOT(ISNUMBER(INDEX(T_例_価格条件[新売価案],MATCH(SUBSTITUTE(SUBSTITUTE(SUBSTITUTE(T_例_対応一覧[[#This Row],[条件ID（自動）]],"~","~~"),"*","~*"),"?","~?"),T_例_価格条件[条件ID],0))))),"",(INDEX(T_例_価格条件[新売価案],MATCH(SUBSTITUTE(SUBSTITUTE(SUBSTITUTE(T_例_対応一覧[[#This Row],[条件ID（自動）]],"~","~~"),"*","~*"),"?","~?"),T_例_価格条件[条件ID],0))-INDEX(T_例_価格条件[改定後原価],MATCH(SUBSTITUTE(SUBSTITUTE(SUBSTITUTE(T_例_対応一覧[[#This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  <c r="S14" s="20" t="str">
        <f>IF(OR(T_例_対応一覧[[#This Row],[試算の対象（自動）]]&lt;&gt;"対象",IF(T_例_対応一覧[[#This Row],[提案状況]]="","未案内",T_例_対応一覧[[#This Row],[提案状況]])&lt;&gt;"合意",NOT(ISNUMBER(T_例_対応一覧[[#This Row],[合意売価]]))),"",(T_例_対応一覧[[#This Row],[合意売価]]-INDEX(T_例_価格条件[改定後原価],MATCH(SUBSTITUTE(SUBSTITUTE(SUBSTITUTE(T_例_対応一覧[[#This Row],[条件ID（自動）]],"~","~~"),"*","~*"),"?","~?"),T_例_価格条件[条件ID],0)))*T_例_対応一覧[[#This Row],[月間数量]])</f>
        <v/>
      </c>
    </row>
  </sheetData>
  <conditionalFormatting sqref="H8:H14">
    <cfRule type="expression" priority="1" dxfId="0">
      <formula>AND(ISNUMBER(H8),MOD(ABS(H8),1)&gt;0)</formula>
    </cfRule>
  </conditionalFormatting>
  <conditionalFormatting sqref="K8:K14">
    <cfRule type="expression" priority="2" dxfId="0">
      <formula>AND(ISNUMBER(K8),MOD(ABS(K8),1)&gt;0)</formula>
    </cfRule>
  </conditionalFormatting>
  <conditionalFormatting sqref="G8:G14">
    <cfRule type="expression" priority="3" dxfId="2" stopIfTrue="1">
      <formula>LEFT(G8,4)="期限超過"</formula>
    </cfRule>
    <cfRule type="expression" priority="4" dxfId="2" stopIfTrue="1">
      <formula>LEFT(G8,5)="適用日到来"</formula>
    </cfRule>
    <cfRule type="expression" priority="5" dxfId="1" stopIfTrue="1">
      <formula>LEFT(G8,3)="要確認"</formula>
    </cfRule>
    <cfRule type="expression" priority="6" dxfId="3" stopIfTrue="1">
      <formula>LEFT(G8,4)="今日対応"</formula>
    </cfRule>
    <cfRule type="expression" priority="7" dxfId="4" stopIfTrue="1">
      <formula>LEFT(G8,3)="合意後"</formula>
    </cfRule>
  </conditionalFormatting>
  <dataValidations count="7">
    <dataValidation sqref="B8:B14" showDropDown="0" showInputMessage="1" showErrorMessage="1" allowBlank="1" errorTitle="条件" error="価格条件シートにある条件を▼から選んでください。" promptTitle="条件" prompt="▼から価格条件を選びます。" type="list" errorStyle="stop">
      <formula1>例_条件リスト</formula1>
    </dataValidation>
    <dataValidation sqref="D8:D14" showDropDown="0" showInputMessage="0" showErrorMessage="1" allowBlank="1" errorTitle="提案状況" error="未案内・案内済・回答待ち・合意・見送り・対象外から選んでください。" type="list" errorStyle="stop">
      <formula1>提案状況リスト</formula1>
    </dataValidation>
    <dataValidation sqref="I8:I14" showDropDown="0" showInputMessage="0" showErrorMessage="1" allowBlank="1" errorTitle="売価の反映" error="未反映・反映済から選んでください。" type="list" errorStyle="stop">
      <formula1>反映リスト</formula1>
    </dataValidation>
    <dataValidation sqref="H8:H14" showDropDown="0" showInputMessage="0" showErrorMessage="1" allowBlank="1" errorTitle="合意売価" error="0以上の金額（税抜・円）を数字で入力してください。" type="decimal" errorStyle="stop" operator="between">
      <formula1>0</formula1>
      <formula2>100000000</formula2>
    </dataValidation>
    <dataValidation sqref="K8:K14" showDropDown="0" showInputMessage="0" showErrorMessage="1" allowBlank="1" errorTitle="月間数量" error="0以上の数を入力してください（100万まで）。" type="decimal" errorStyle="stop" operator="between">
      <formula1>0</formula1>
      <formula2>1000000</formula2>
    </dataValidation>
    <dataValidation sqref="E8:E14" showDropDown="0" showInputMessage="0" showErrorMessage="1" allowBlank="1" errorTitle="次回対応日" error="日付を 2026/11/10 のように入力してください。" type="date" errorStyle="stop" operator="between">
      <formula1>36526</formula1>
      <formula2>73050</formula2>
    </dataValidation>
    <dataValidation sqref="J8:J14" showDropDown="0" showInputMessage="0" showErrorMessage="1" allowBlank="1" errorTitle="適用予定日" error="日付を 2026/11/10 のように入力してください。" type="date" errorStyle="stop" operator="between">
      <formula1>36526</formula1>
      <formula2>73050</formula2>
    </dataValidation>
  </dataValidations>
  <printOptions horizontalCentered="0"/>
  <pageMargins left="0.5" right="0.5" top="0.6" bottom="0.6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2" customWidth="1" min="3" max="3"/>
    <col width="70" customWidth="1" min="4" max="4"/>
  </cols>
  <sheetData>
    <row r="1" ht="30" customHeight="1">
      <c r="A1" s="12" t="inlineStr">
        <is>
          <t>設定</t>
        </is>
      </c>
    </row>
    <row r="2" ht="20" customHeight="1">
      <c r="A2" s="2" t="inlineStr">
        <is>
          <t>このブックは1回の価格改定に1冊使います。次の改定はファイルをコピーして使ってください。</t>
        </is>
      </c>
    </row>
    <row r="4" ht="24" customHeight="1">
      <c r="B4" s="10" t="inlineStr">
        <is>
          <t>改定の名前</t>
        </is>
      </c>
      <c r="C4" s="46" t="n"/>
      <c r="D4" s="2" t="inlineStr">
        <is>
          <t>例：2026年12月 仕入価格改定。確認・集計の見出しに出ます。</t>
        </is>
      </c>
    </row>
    <row r="5" ht="24" customHeight="1">
      <c r="B5" s="10" t="inlineStr">
        <is>
          <t>基準日を固定する日付（任意）</t>
        </is>
      </c>
      <c r="C5" s="47" t="n"/>
      <c r="D5" s="2" t="inlineStr">
        <is>
          <t>空欄なら今日の日付で期限を判定します。過去の状態を見直すときだけ入力します。</t>
        </is>
      </c>
    </row>
    <row r="6" ht="24" customHeight="1">
      <c r="B6" s="10" t="inlineStr">
        <is>
          <t>使用中の基準日（自動）</t>
        </is>
      </c>
      <c r="C6" s="48">
        <f>IF(C5="",TODAY(),C5)</f>
        <v>46317.0</v>
      </c>
      <c r="D6" s="2" t="inlineStr">
        <is>
          <t>期限超過・今日対応・適用日の到来は、この日付で判定します。</t>
        </is>
      </c>
    </row>
    <row r="7" ht="24" customHeight="1">
      <c r="B7" s="10" t="inlineStr">
        <is>
          <t>必要売価の切り上げ単位（円）</t>
        </is>
      </c>
      <c r="C7" s="49" t="n">
        <v>1</v>
      </c>
      <c r="D7" s="2" t="inlineStr">
        <is>
          <t>1・10・100・0.01 から選びます。理論値を下回らないように切り上げます。</t>
        </is>
      </c>
    </row>
    <row r="8" ht="24" customHeight="1">
      <c r="B8" s="10" t="inlineStr">
        <is>
          <t>計算に使う切り上げ単位（自動）</t>
        </is>
      </c>
      <c r="C8" s="50">
        <f>IF(OR(C7=1,C7=10,C7=100,C7=0.01),C7,1)</f>
        <v>1</v>
      </c>
      <c r="D8" s="51" t="str">
        <f>IF(OR(C7=1,C7=10,C7=100,C7=0.01),"","要確認：1・10・100・0.01 から選んでください（今は1円で計算しています）")</f>
        <v/>
      </c>
    </row>
    <row r="10">
      <c r="B10" s="30" t="inlineStr">
        <is>
          <t>選択肢（計算に使うため、名前を変えないでください）</t>
        </is>
      </c>
    </row>
    <row r="11">
      <c r="B11" s="52" t="inlineStr">
        <is>
          <t>提案状況</t>
        </is>
      </c>
      <c r="C11" s="52" t="inlineStr">
        <is>
          <t>意味</t>
        </is>
      </c>
    </row>
    <row r="12">
      <c r="B12" s="10" t="inlineStr">
        <is>
          <t>未案内</t>
        </is>
      </c>
      <c r="C12" s="53" t="inlineStr">
        <is>
          <t>まだ得意先へ価格改定を伝えていない。提案状況が空欄の行も未案内として数えます。</t>
        </is>
      </c>
    </row>
    <row r="13">
      <c r="B13" s="10" t="inlineStr">
        <is>
          <t>案内済</t>
        </is>
      </c>
      <c r="C13" s="53" t="inlineStr">
        <is>
          <t>案内文・見積を送った。回答の依頼はまだ。</t>
        </is>
      </c>
    </row>
    <row r="14">
      <c r="B14" s="10" t="inlineStr">
        <is>
          <t>回答待ち</t>
        </is>
      </c>
      <c r="C14" s="53" t="inlineStr">
        <is>
          <t>回答を依頼し、返事を待っている。</t>
        </is>
      </c>
    </row>
    <row r="15">
      <c r="B15" s="10" t="inlineStr">
        <is>
          <t>合意</t>
        </is>
      </c>
      <c r="C15" s="53" t="inlineStr">
        <is>
          <t>新しい売価で合意した。合意売価の入力が必要です。合意しただけでは、自社の価格表への反映は済んでいません。</t>
        </is>
      </c>
    </row>
    <row r="16">
      <c r="B16" s="10" t="inlineStr">
        <is>
          <t>見送り</t>
        </is>
      </c>
      <c r="C16" s="53" t="inlineStr">
        <is>
          <t>交渉を終え、今回は値上げしない。粗利が減る影響は残るため、据置の試算には含めます。</t>
        </is>
      </c>
    </row>
    <row r="17">
      <c r="B17" s="10" t="inlineStr">
        <is>
          <t>対象外</t>
        </is>
      </c>
      <c r="C17" s="53" t="inlineStr">
        <is>
          <t>そもそも今回の改定の対象ではない（契約で単価固定、取扱終了など）。件数以外の集計から外します。</t>
        </is>
      </c>
    </row>
    <row r="19">
      <c r="B19" s="52" t="inlineStr">
        <is>
          <t>売価の反映</t>
        </is>
      </c>
      <c r="C19" s="52" t="inlineStr">
        <is>
          <t>意味</t>
        </is>
      </c>
    </row>
    <row r="20">
      <c r="B20" s="10" t="inlineStr">
        <is>
          <t>未反映</t>
        </is>
      </c>
      <c r="C20" s="39" t="inlineStr">
        <is>
          <t>販売管理・価格表・見積ひな型の単価をまだ変えていない。空欄も未反映として扱います。</t>
        </is>
      </c>
    </row>
    <row r="21">
      <c r="B21" s="10" t="inlineStr">
        <is>
          <t>反映済</t>
        </is>
      </c>
      <c r="C21" s="39" t="inlineStr">
        <is>
          <t>自社の価格表などへ合意売価を反映した。適用日が来たかどうかは、適用予定日で別に判定します。</t>
        </is>
      </c>
    </row>
  </sheetData>
  <dataValidations count="2">
    <dataValidation sqref="C5" showDropDown="0" showInputMessage="0" showErrorMessage="1" allowBlank="1" errorTitle="基準日" error="日付を 2026/11/10 のように入力してください。" type="date" errorStyle="stop" operator="between">
      <formula1>36526</formula1>
      <formula2>73050</formula2>
    </dataValidation>
    <dataValidation sqref="C7" showDropDown="0" showInputMessage="0" showErrorMessage="1" allowBlank="1" errorTitle="切り上げ単位" error="1・10・100・0.01 から選んでください。" type="list" errorStyle="stop">
      <formula1>"1,10,100,0.01"</formula1>
    </dataValidation>
  </dataValidations>
  <printOptions horizontalCentered="0"/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ツグアス</dc:creator>
  <dc:title>価格改定・見積の対応管理表</dc:title>
  <dcterms:created xsi:type="dcterms:W3CDTF">2026-10-22T00:29:20Z</dcterms:created>
  <dcterms:modified xsi:type="dcterms:W3CDTF">2026-10-22T00:29:20Z</dcterms:modified>
  <cp:lastModifiedBy>ツグアス</cp:lastModifiedBy>
</cp:coreProperties>
</file>